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90" yWindow="915" windowWidth="15600" windowHeight="7005" tabRatio="602" firstSheet="18" activeTab="19"/>
  </bookViews>
  <sheets>
    <sheet name="PERFIL ALUMINO" sheetId="13" r:id="rId1"/>
    <sheet name="SISTEMAS DE ALUMINIO" sheetId="17" r:id="rId2"/>
    <sheet name="ACCESORIOS DE ALUMINIO Y ACERO" sheetId="15" r:id="rId3"/>
    <sheet name="ACERO" sheetId="14" r:id="rId4"/>
    <sheet name="PERFIL Y ACCESORIOS HIERRO" sheetId="16" r:id="rId5"/>
    <sheet name="MODULLO_MATERIA_PRIMA_" sheetId="1" state="hidden" r:id="rId6"/>
    <sheet name="MOD_ALUMINIO_" sheetId="2" r:id="rId7"/>
    <sheet name="MOD_ACERO" sheetId="3" r:id="rId8"/>
    <sheet name="MOD HIERRO " sheetId="10" r:id="rId9"/>
    <sheet name="MOD DE ADMON" sheetId="4" r:id="rId10"/>
    <sheet name="Hoja1" sheetId="5" state="hidden" r:id="rId11"/>
    <sheet name="DATOS" sheetId="6" state="hidden" r:id="rId12"/>
    <sheet name="DEPARTAMENTA" sheetId="7" state="hidden" r:id="rId13"/>
    <sheet name="informacion_" sheetId="8" state="hidden" r:id="rId14"/>
    <sheet name="Hoja2" sheetId="9" state="hidden" r:id="rId15"/>
    <sheet name="COTIZADOR " sheetId="11" state="hidden" r:id="rId16"/>
    <sheet name="COSTOS INDIRECTOS DE FABRICACIO" sheetId="18" r:id="rId17"/>
    <sheet name="DISEÑO COTIZADOR" sheetId="27" r:id="rId18"/>
    <sheet name="DISEÑO DE COSTO HOJA REAL" sheetId="28" r:id="rId19"/>
    <sheet name="PRUEBA PILOTO COTIZADOR Y HOJA " sheetId="24" r:id="rId20"/>
    <sheet name="PRUEBA PILOTO PUERTA" sheetId="23" r:id="rId21"/>
    <sheet name="VARIACIONES_2" sheetId="26" r:id="rId22"/>
    <sheet name="Hoja3" sheetId="25" r:id="rId23"/>
  </sheets>
  <definedNames>
    <definedName name="_xlnm._FilterDatabase" localSheetId="3" hidden="1">ACERO!$A$1:$D$207</definedName>
    <definedName name="CODIGO">ACERO!$A$2:$D$5</definedName>
  </definedNames>
  <calcPr calcId="145621"/>
</workbook>
</file>

<file path=xl/calcChain.xml><?xml version="1.0" encoding="utf-8"?>
<calcChain xmlns="http://schemas.openxmlformats.org/spreadsheetml/2006/main">
  <c r="B22" i="24" l="1"/>
  <c r="A22" i="24"/>
  <c r="E22" i="24"/>
  <c r="C95" i="16"/>
  <c r="C90" i="16"/>
  <c r="C89" i="16"/>
  <c r="C88" i="16"/>
  <c r="C87" i="16"/>
  <c r="C86" i="16"/>
  <c r="C85" i="16"/>
  <c r="C84" i="16"/>
  <c r="C83" i="16"/>
  <c r="C82" i="16"/>
  <c r="C81" i="16"/>
  <c r="C80" i="16"/>
  <c r="C79" i="16"/>
  <c r="C78" i="16"/>
  <c r="C77" i="16"/>
  <c r="C76" i="16"/>
  <c r="C75" i="16"/>
  <c r="C74" i="16"/>
  <c r="C73" i="16"/>
  <c r="C72" i="16"/>
  <c r="C71" i="16"/>
  <c r="C70" i="16"/>
  <c r="C69" i="16"/>
  <c r="C68" i="16"/>
  <c r="C67" i="16"/>
  <c r="C66" i="16"/>
  <c r="C65" i="16"/>
  <c r="C64" i="16"/>
  <c r="C63" i="16"/>
  <c r="D145" i="17"/>
  <c r="C145" i="17"/>
  <c r="H48" i="18" l="1"/>
  <c r="H49" i="18"/>
  <c r="D48" i="18"/>
  <c r="L48" i="18"/>
  <c r="L47" i="18"/>
  <c r="L46" i="18"/>
  <c r="H53" i="18" l="1"/>
  <c r="D53" i="18"/>
  <c r="K25" i="18" l="1"/>
  <c r="J25" i="18"/>
  <c r="I25" i="18"/>
  <c r="H25" i="18"/>
  <c r="F25" i="18"/>
  <c r="G25" i="18"/>
  <c r="D25" i="18"/>
  <c r="K8" i="23" l="1"/>
  <c r="K8" i="24" l="1"/>
  <c r="W14" i="23"/>
  <c r="S23" i="23"/>
  <c r="P23" i="23"/>
  <c r="O23" i="23"/>
  <c r="S22" i="23"/>
  <c r="P22" i="23"/>
  <c r="O22" i="23"/>
  <c r="S21" i="23"/>
  <c r="P21" i="23"/>
  <c r="O21" i="23"/>
  <c r="S20" i="23"/>
  <c r="P20" i="23"/>
  <c r="O20" i="23"/>
  <c r="S19" i="23"/>
  <c r="P19" i="23"/>
  <c r="O19" i="23"/>
  <c r="S18" i="23"/>
  <c r="P18" i="23"/>
  <c r="O18" i="23"/>
  <c r="S17" i="23"/>
  <c r="P17" i="23"/>
  <c r="O17" i="23"/>
  <c r="S16" i="23"/>
  <c r="P16" i="23"/>
  <c r="O16" i="23"/>
  <c r="P15" i="23"/>
  <c r="O15" i="23"/>
  <c r="P14" i="23"/>
  <c r="O14" i="23"/>
  <c r="Q23" i="23"/>
  <c r="Q22" i="23"/>
  <c r="T22" i="23" s="1"/>
  <c r="Q21" i="23"/>
  <c r="Q20" i="23"/>
  <c r="T20" i="23" s="1"/>
  <c r="Q19" i="23"/>
  <c r="Q18" i="23"/>
  <c r="Q17" i="23"/>
  <c r="T17" i="23" s="1"/>
  <c r="Q16" i="23"/>
  <c r="Q15" i="23"/>
  <c r="U14" i="23"/>
  <c r="Q14" i="23"/>
  <c r="T23" i="23" l="1"/>
  <c r="T16" i="23"/>
  <c r="T19" i="23"/>
  <c r="T18" i="23"/>
  <c r="X14" i="23"/>
  <c r="X25" i="23" s="1"/>
  <c r="T21" i="23"/>
  <c r="G14" i="23"/>
  <c r="S29" i="23" l="1"/>
  <c r="F18" i="26"/>
  <c r="E16" i="23"/>
  <c r="E17" i="23"/>
  <c r="E22" i="23"/>
  <c r="A15" i="23"/>
  <c r="B15" i="23"/>
  <c r="I14" i="23"/>
  <c r="J14" i="23" s="1"/>
  <c r="C208" i="14"/>
  <c r="C286" i="15"/>
  <c r="D286" i="15" s="1"/>
  <c r="F8" i="18" s="1"/>
  <c r="E29" i="23" l="1"/>
  <c r="J25" i="23"/>
  <c r="E18" i="26" s="1"/>
  <c r="H18" i="26" s="1"/>
  <c r="Y14" i="24"/>
  <c r="Z14" i="24"/>
  <c r="B14" i="24"/>
  <c r="R14" i="24" s="1"/>
  <c r="R22" i="24"/>
  <c r="G18" i="26" l="1"/>
  <c r="Y26" i="24"/>
  <c r="U30" i="24" s="1"/>
  <c r="F7" i="26" s="1"/>
  <c r="D291" i="15" l="1"/>
  <c r="E24" i="24"/>
  <c r="U24" i="24" s="1"/>
  <c r="B24" i="24"/>
  <c r="R24" i="24" s="1"/>
  <c r="A24" i="24"/>
  <c r="Q24" i="24" s="1"/>
  <c r="E23" i="24"/>
  <c r="U23" i="24" s="1"/>
  <c r="B23" i="24"/>
  <c r="R23" i="24" s="1"/>
  <c r="A23" i="24"/>
  <c r="Q23" i="24" s="1"/>
  <c r="F9" i="18"/>
  <c r="D82" i="17"/>
  <c r="D123" i="17"/>
  <c r="D122" i="17"/>
  <c r="D121" i="17"/>
  <c r="D120" i="17"/>
  <c r="D119" i="17"/>
  <c r="D118" i="17"/>
  <c r="D117" i="17"/>
  <c r="D116" i="17"/>
  <c r="D115" i="17"/>
  <c r="D114" i="17"/>
  <c r="D113" i="17"/>
  <c r="C123" i="17"/>
  <c r="C122" i="17"/>
  <c r="C121" i="17"/>
  <c r="C120" i="17"/>
  <c r="C119" i="17"/>
  <c r="C118" i="17"/>
  <c r="C117" i="17"/>
  <c r="C116" i="17"/>
  <c r="C115" i="17"/>
  <c r="C114" i="17"/>
  <c r="C113" i="17"/>
  <c r="D111" i="17"/>
  <c r="D110" i="17"/>
  <c r="D105" i="17"/>
  <c r="D103" i="17"/>
  <c r="D101" i="17"/>
  <c r="C111" i="17"/>
  <c r="C110" i="17"/>
  <c r="C109" i="17"/>
  <c r="C103" i="17"/>
  <c r="C101" i="17"/>
  <c r="D89" i="17"/>
  <c r="D88" i="17"/>
  <c r="D87" i="17"/>
  <c r="D86" i="17"/>
  <c r="D85" i="17"/>
  <c r="D84" i="17"/>
  <c r="D83" i="17"/>
  <c r="D81" i="17"/>
  <c r="D80" i="17"/>
  <c r="D77" i="17"/>
  <c r="D73" i="17"/>
  <c r="D72" i="17"/>
  <c r="C89" i="17"/>
  <c r="C88" i="17"/>
  <c r="C87" i="17"/>
  <c r="C86" i="17"/>
  <c r="C85" i="17"/>
  <c r="C84" i="17"/>
  <c r="C83" i="17"/>
  <c r="C82" i="17"/>
  <c r="C81" i="17"/>
  <c r="C80" i="17"/>
  <c r="C73" i="17"/>
  <c r="C72" i="17"/>
  <c r="D70" i="17"/>
  <c r="D69" i="17"/>
  <c r="D68" i="17"/>
  <c r="D67" i="17"/>
  <c r="D66" i="17"/>
  <c r="D62" i="17"/>
  <c r="D61" i="17"/>
  <c r="D60" i="17"/>
  <c r="D59" i="17"/>
  <c r="C70" i="17"/>
  <c r="C69" i="17"/>
  <c r="C68" i="17"/>
  <c r="C66" i="17"/>
  <c r="C62" i="17"/>
  <c r="C60" i="17"/>
  <c r="C59" i="17"/>
  <c r="C58" i="17"/>
  <c r="C55" i="17"/>
  <c r="C54" i="17"/>
  <c r="C53" i="17"/>
  <c r="D46" i="17"/>
  <c r="D47" i="17"/>
  <c r="C47" i="17"/>
  <c r="C46" i="17"/>
  <c r="D42" i="17"/>
  <c r="D41" i="17"/>
  <c r="D40" i="17"/>
  <c r="D38" i="17"/>
  <c r="D37" i="17"/>
  <c r="D36" i="17"/>
  <c r="D35" i="17"/>
  <c r="D34" i="17"/>
  <c r="D33" i="17"/>
  <c r="D32" i="17"/>
  <c r="C42" i="17"/>
  <c r="C41" i="17"/>
  <c r="C40" i="17"/>
  <c r="C38" i="17"/>
  <c r="C36" i="17"/>
  <c r="C35" i="17"/>
  <c r="C34" i="17"/>
  <c r="C33" i="17"/>
  <c r="C32" i="17"/>
  <c r="D29" i="17"/>
  <c r="D28" i="17"/>
  <c r="D26" i="17"/>
  <c r="D24" i="17"/>
  <c r="D21" i="17"/>
  <c r="C29" i="17"/>
  <c r="C28" i="17"/>
  <c r="C26" i="17"/>
  <c r="C24" i="17"/>
  <c r="D18" i="17"/>
  <c r="D16" i="17"/>
  <c r="D15" i="17"/>
  <c r="D14" i="17"/>
  <c r="D13" i="17"/>
  <c r="D12" i="17"/>
  <c r="D10" i="17"/>
  <c r="D9" i="17"/>
  <c r="F7" i="18" s="1"/>
  <c r="C10" i="17"/>
  <c r="S15" i="23" l="1"/>
  <c r="T15" i="23" s="1"/>
  <c r="E15" i="23"/>
  <c r="S14" i="23"/>
  <c r="T14" i="23" s="1"/>
  <c r="E14" i="23"/>
  <c r="U22" i="24"/>
  <c r="Q22" i="24"/>
  <c r="E21" i="24"/>
  <c r="U21" i="24" s="1"/>
  <c r="B21" i="24"/>
  <c r="R21" i="24" s="1"/>
  <c r="A21" i="24"/>
  <c r="Q21" i="24" s="1"/>
  <c r="E20" i="24"/>
  <c r="U20" i="24" s="1"/>
  <c r="B20" i="24"/>
  <c r="R20" i="24" s="1"/>
  <c r="A20" i="24"/>
  <c r="Q20" i="24" s="1"/>
  <c r="E19" i="24"/>
  <c r="U19" i="24" s="1"/>
  <c r="B19" i="24"/>
  <c r="R19" i="24" s="1"/>
  <c r="A19" i="24"/>
  <c r="Q19" i="24" s="1"/>
  <c r="E18" i="24"/>
  <c r="U18" i="24" s="1"/>
  <c r="B18" i="24"/>
  <c r="R18" i="24" s="1"/>
  <c r="A18" i="24"/>
  <c r="Q18" i="24" s="1"/>
  <c r="E17" i="24"/>
  <c r="U17" i="24" s="1"/>
  <c r="B17" i="24"/>
  <c r="R17" i="24" s="1"/>
  <c r="A17" i="24"/>
  <c r="Q17" i="24" s="1"/>
  <c r="E16" i="24"/>
  <c r="U16" i="24" s="1"/>
  <c r="B16" i="24"/>
  <c r="R16" i="24" s="1"/>
  <c r="A16" i="24"/>
  <c r="Q16" i="24" s="1"/>
  <c r="E15" i="24"/>
  <c r="U15" i="24" s="1"/>
  <c r="B15" i="24"/>
  <c r="R15" i="24" s="1"/>
  <c r="A15" i="24"/>
  <c r="Q15" i="24" s="1"/>
  <c r="I14" i="24"/>
  <c r="E14" i="24"/>
  <c r="U14" i="24" s="1"/>
  <c r="A14" i="24"/>
  <c r="Q14" i="24" s="1"/>
  <c r="T25" i="23" l="1"/>
  <c r="J14" i="24"/>
  <c r="Z14" i="23" l="1"/>
  <c r="F17" i="26"/>
  <c r="S28" i="23"/>
  <c r="J26" i="24"/>
  <c r="E30" i="24" s="1"/>
  <c r="E7" i="26" s="1"/>
  <c r="C44" i="13"/>
  <c r="C4" i="13"/>
  <c r="C5" i="13"/>
  <c r="C6" i="13"/>
  <c r="C7" i="13"/>
  <c r="C3" i="13"/>
  <c r="G7" i="26" l="1"/>
  <c r="H7" i="26"/>
  <c r="J20" i="18"/>
  <c r="J19" i="18"/>
  <c r="K19" i="18"/>
  <c r="J18" i="18"/>
  <c r="J23" i="18" l="1"/>
  <c r="J26" i="18"/>
  <c r="G24" i="10" l="1"/>
  <c r="G26" i="3"/>
  <c r="L55" i="18"/>
  <c r="L52" i="18"/>
  <c r="I21" i="18"/>
  <c r="K21" i="18" s="1"/>
  <c r="I20" i="18"/>
  <c r="H20" i="18"/>
  <c r="E12" i="18"/>
  <c r="K20" i="18" l="1"/>
  <c r="D12" i="18"/>
  <c r="D26" i="18" s="1"/>
  <c r="I26" i="18" l="1"/>
  <c r="H54" i="18" s="1"/>
  <c r="G26" i="18"/>
  <c r="L54" i="18"/>
  <c r="H26" i="18"/>
  <c r="D54" i="18" s="1"/>
  <c r="F26" i="18"/>
  <c r="K26" i="18" s="1"/>
  <c r="K18" i="18"/>
  <c r="C105" i="13" l="1"/>
  <c r="C106" i="13"/>
  <c r="C107" i="13"/>
  <c r="C108" i="13"/>
  <c r="C109" i="13"/>
  <c r="C110" i="13"/>
  <c r="C104" i="13"/>
  <c r="C96" i="13"/>
  <c r="C97" i="13"/>
  <c r="C98" i="13"/>
  <c r="C99" i="13"/>
  <c r="C100" i="13"/>
  <c r="C101" i="13"/>
  <c r="C102" i="13"/>
  <c r="C95" i="13"/>
  <c r="C74" i="13"/>
  <c r="C75" i="13"/>
  <c r="C76" i="13"/>
  <c r="C77" i="13"/>
  <c r="C78" i="13"/>
  <c r="C79" i="13"/>
  <c r="C80" i="13"/>
  <c r="C81" i="13"/>
  <c r="C82" i="13"/>
  <c r="C83" i="13"/>
  <c r="C84" i="13"/>
  <c r="C85" i="13"/>
  <c r="C86" i="13"/>
  <c r="C87" i="13"/>
  <c r="C88" i="13"/>
  <c r="C89" i="13"/>
  <c r="C90" i="13"/>
  <c r="C91" i="13"/>
  <c r="C92" i="13"/>
  <c r="C93" i="13"/>
  <c r="C73"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45"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9" i="13"/>
  <c r="C111" i="13" l="1"/>
  <c r="K10" i="4"/>
  <c r="K11" i="4"/>
  <c r="K12" i="4"/>
  <c r="K13" i="4"/>
  <c r="K14" i="4"/>
  <c r="K9" i="4"/>
  <c r="G29" i="4"/>
  <c r="L35" i="2"/>
  <c r="C25" i="3"/>
  <c r="C28" i="18" l="1"/>
  <c r="C11" i="18"/>
  <c r="C10" i="18"/>
  <c r="C9" i="18"/>
  <c r="C8" i="18"/>
  <c r="C7" i="18"/>
  <c r="D27" i="18" s="1"/>
  <c r="P23" i="2"/>
  <c r="H27" i="18" l="1"/>
  <c r="I27" i="18"/>
  <c r="H55" i="18" s="1"/>
  <c r="C12" i="18"/>
  <c r="D23" i="18" s="1"/>
  <c r="K8" i="3"/>
  <c r="K9" i="3"/>
  <c r="K10" i="3"/>
  <c r="K11" i="3"/>
  <c r="K7" i="3"/>
  <c r="M7" i="3"/>
  <c r="K7" i="2"/>
  <c r="K8" i="2"/>
  <c r="K9" i="2"/>
  <c r="K10" i="2"/>
  <c r="K11" i="2"/>
  <c r="K12" i="2"/>
  <c r="K13" i="2"/>
  <c r="K14" i="2"/>
  <c r="K15" i="2"/>
  <c r="K16" i="2"/>
  <c r="K17" i="2"/>
  <c r="K18" i="2"/>
  <c r="K19" i="2"/>
  <c r="K20" i="2"/>
  <c r="K21" i="2"/>
  <c r="K6" i="2"/>
  <c r="L51" i="18" l="1"/>
  <c r="H23" i="18"/>
  <c r="D51" i="18" s="1"/>
  <c r="F23" i="18"/>
  <c r="I23" i="18"/>
  <c r="H51" i="18" s="1"/>
  <c r="G23" i="18"/>
  <c r="G28" i="18" s="1"/>
  <c r="K27" i="18"/>
  <c r="D55" i="18"/>
  <c r="K12" i="3"/>
  <c r="L15" i="4"/>
  <c r="K15" i="4"/>
  <c r="N15" i="4"/>
  <c r="M14" i="4"/>
  <c r="M13" i="4"/>
  <c r="M12" i="4"/>
  <c r="M11" i="4"/>
  <c r="M10" i="4"/>
  <c r="M9" i="4"/>
  <c r="F28" i="18" l="1"/>
  <c r="K23" i="18"/>
  <c r="L12" i="3"/>
  <c r="M11" i="3"/>
  <c r="M10" i="3"/>
  <c r="M9" i="3"/>
  <c r="M8" i="3"/>
  <c r="K22" i="2"/>
  <c r="C29" i="18" l="1"/>
  <c r="D29" i="18" s="1"/>
  <c r="J29" i="18" s="1"/>
  <c r="M12" i="3"/>
  <c r="M7" i="2"/>
  <c r="M8" i="2"/>
  <c r="M9" i="2"/>
  <c r="M10" i="2"/>
  <c r="M11" i="2"/>
  <c r="M12" i="2"/>
  <c r="M13" i="2"/>
  <c r="M14" i="2"/>
  <c r="M15" i="2"/>
  <c r="M16" i="2"/>
  <c r="M17" i="2"/>
  <c r="M18" i="2"/>
  <c r="M19" i="2"/>
  <c r="M20" i="2"/>
  <c r="M21" i="2"/>
  <c r="M6" i="2"/>
  <c r="P6" i="2" s="1"/>
  <c r="G23" i="10"/>
  <c r="G36" i="2"/>
  <c r="I29" i="18" l="1"/>
  <c r="H29" i="18"/>
  <c r="G29" i="18"/>
  <c r="M22" i="2"/>
  <c r="L19" i="11"/>
  <c r="O18" i="11"/>
  <c r="O8" i="11"/>
  <c r="N17" i="11"/>
  <c r="O17" i="11" s="1"/>
  <c r="N8" i="11"/>
  <c r="D56" i="18" l="1"/>
  <c r="L56" i="18"/>
  <c r="K29" i="18"/>
  <c r="C30" i="18"/>
  <c r="H56" i="18"/>
  <c r="E8" i="11"/>
  <c r="K17" i="11"/>
  <c r="K18" i="11"/>
  <c r="N18" i="11" s="1"/>
  <c r="E18" i="11"/>
  <c r="F18" i="11" s="1"/>
  <c r="H18" i="11" s="1"/>
  <c r="E17" i="11"/>
  <c r="F17" i="11" s="1"/>
  <c r="H17" i="11" s="1"/>
  <c r="G30" i="18" l="1"/>
  <c r="C19" i="11"/>
  <c r="F8" i="11"/>
  <c r="H8" i="11" s="1"/>
  <c r="F19" i="11" s="1"/>
  <c r="D32" i="10"/>
  <c r="D33" i="10" s="1"/>
  <c r="D22" i="10"/>
  <c r="D23" i="10" s="1"/>
  <c r="G18" i="10"/>
  <c r="G20" i="10" s="1"/>
  <c r="G21" i="10" s="1"/>
  <c r="O7" i="2"/>
  <c r="O8" i="2"/>
  <c r="O9" i="2"/>
  <c r="O10" i="2"/>
  <c r="O11" i="2"/>
  <c r="O12" i="2"/>
  <c r="O13" i="2"/>
  <c r="O14" i="2"/>
  <c r="O15" i="2"/>
  <c r="O16" i="2"/>
  <c r="O17" i="2"/>
  <c r="O18" i="2"/>
  <c r="O19" i="2"/>
  <c r="O20" i="2"/>
  <c r="O21" i="2"/>
  <c r="O22" i="2"/>
  <c r="H8" i="2"/>
  <c r="G8" i="10" l="1"/>
  <c r="J8" i="10"/>
  <c r="G19" i="10"/>
  <c r="L29" i="2"/>
  <c r="L31" i="2" s="1"/>
  <c r="L32" i="2" s="1"/>
  <c r="L34" i="2" s="1"/>
  <c r="L30" i="2" l="1"/>
  <c r="I8" i="10"/>
  <c r="H8" i="10"/>
  <c r="E8" i="10"/>
  <c r="C28" i="4"/>
  <c r="H15" i="4"/>
  <c r="C26" i="3"/>
  <c r="L22" i="2"/>
  <c r="N12" i="3"/>
  <c r="J11" i="4" l="1"/>
  <c r="J13" i="4"/>
  <c r="J15" i="4"/>
  <c r="J10" i="4"/>
  <c r="J12" i="4"/>
  <c r="J14" i="4"/>
  <c r="J9" i="4"/>
  <c r="K8" i="10"/>
  <c r="K9" i="10" s="1"/>
  <c r="J9" i="3"/>
  <c r="J8" i="3"/>
  <c r="J10" i="3"/>
  <c r="J11" i="3"/>
  <c r="J12" i="3"/>
  <c r="F14" i="8"/>
  <c r="E14" i="8"/>
  <c r="D14" i="8"/>
  <c r="F13" i="8"/>
  <c r="E13" i="8"/>
  <c r="D13" i="8"/>
  <c r="F12" i="8"/>
  <c r="E12" i="8"/>
  <c r="D12" i="8"/>
  <c r="G13" i="7"/>
  <c r="G12" i="7"/>
  <c r="F12" i="7"/>
  <c r="M12" i="7" s="1"/>
  <c r="E11" i="7"/>
  <c r="I11" i="7" s="1"/>
  <c r="E10" i="7"/>
  <c r="E9" i="7"/>
  <c r="E8" i="7"/>
  <c r="L7" i="7"/>
  <c r="K7" i="7"/>
  <c r="H7" i="7"/>
  <c r="L6" i="7"/>
  <c r="K6" i="7"/>
  <c r="H6" i="7"/>
  <c r="G6" i="7"/>
  <c r="F6" i="7"/>
  <c r="E4" i="7"/>
  <c r="I4" i="7" s="1"/>
  <c r="M13" i="7"/>
  <c r="D11" i="7"/>
  <c r="D14" i="7" s="1"/>
  <c r="M7" i="7"/>
  <c r="M6" i="7"/>
  <c r="L5" i="7"/>
  <c r="M5" i="7" s="1"/>
  <c r="B65" i="6"/>
  <c r="E59" i="6"/>
  <c r="D59" i="6"/>
  <c r="B64" i="6" s="1"/>
  <c r="C59" i="6"/>
  <c r="B63" i="6" s="1"/>
  <c r="B59" i="6"/>
  <c r="B62" i="6" s="1"/>
  <c r="E12" i="6"/>
  <c r="E11" i="6"/>
  <c r="E10" i="6"/>
  <c r="E8" i="6"/>
  <c r="E7" i="6"/>
  <c r="E6" i="6"/>
  <c r="C38" i="4"/>
  <c r="C39" i="4" s="1"/>
  <c r="C29" i="4"/>
  <c r="G23" i="4"/>
  <c r="G25" i="4" s="1"/>
  <c r="G26" i="4" s="1"/>
  <c r="C35" i="3"/>
  <c r="C36" i="3" s="1"/>
  <c r="J7" i="3"/>
  <c r="G20" i="3"/>
  <c r="G21" i="3" s="1"/>
  <c r="G46" i="2"/>
  <c r="O6" i="2"/>
  <c r="G34" i="1"/>
  <c r="G33" i="1"/>
  <c r="G32" i="1"/>
  <c r="G31" i="1"/>
  <c r="G30" i="1"/>
  <c r="G29" i="1"/>
  <c r="G28" i="1"/>
  <c r="G27" i="1"/>
  <c r="G26" i="1"/>
  <c r="G25" i="1"/>
  <c r="G24" i="1"/>
  <c r="G23" i="1"/>
  <c r="G22" i="1"/>
  <c r="G21" i="1"/>
  <c r="G20" i="1"/>
  <c r="G19" i="1"/>
  <c r="G18" i="1"/>
  <c r="G17" i="1"/>
  <c r="G16" i="1"/>
  <c r="G15" i="1"/>
  <c r="G14" i="1"/>
  <c r="G13" i="1"/>
  <c r="G12" i="1"/>
  <c r="G11" i="1"/>
  <c r="G10" i="1"/>
  <c r="G9" i="1"/>
  <c r="M15" i="4" l="1"/>
  <c r="O15" i="4"/>
  <c r="P9" i="4"/>
  <c r="P11" i="4"/>
  <c r="H36" i="4"/>
  <c r="G28" i="4"/>
  <c r="H22" i="2"/>
  <c r="H12" i="3"/>
  <c r="G22" i="3"/>
  <c r="G23" i="3" s="1"/>
  <c r="G25" i="3" s="1"/>
  <c r="O9" i="3"/>
  <c r="O7" i="3"/>
  <c r="O8" i="3"/>
  <c r="O14" i="4"/>
  <c r="P14" i="4" s="1"/>
  <c r="O10" i="4"/>
  <c r="P10" i="4" s="1"/>
  <c r="O11" i="4"/>
  <c r="L9" i="7"/>
  <c r="H9" i="7"/>
  <c r="J9" i="7"/>
  <c r="K9" i="7"/>
  <c r="G9" i="7"/>
  <c r="F9" i="7"/>
  <c r="I9" i="7"/>
  <c r="I14" i="7" s="1"/>
  <c r="O12" i="3"/>
  <c r="O12" i="4"/>
  <c r="P12" i="4" s="1"/>
  <c r="L8" i="7"/>
  <c r="H8" i="7"/>
  <c r="F8" i="7"/>
  <c r="K8" i="7"/>
  <c r="G8" i="7"/>
  <c r="J8" i="7"/>
  <c r="L10" i="7"/>
  <c r="H10" i="7"/>
  <c r="J10" i="7"/>
  <c r="K10" i="7"/>
  <c r="G10" i="7"/>
  <c r="F10" i="7"/>
  <c r="L4" i="7"/>
  <c r="H4" i="7"/>
  <c r="K4" i="7"/>
  <c r="G4" i="7"/>
  <c r="J4" i="7"/>
  <c r="F4" i="7"/>
  <c r="L11" i="7"/>
  <c r="H11" i="7"/>
  <c r="J11" i="7"/>
  <c r="F11" i="7"/>
  <c r="K11" i="7"/>
  <c r="G11" i="7"/>
  <c r="O10" i="3"/>
  <c r="O11" i="3"/>
  <c r="O9" i="4"/>
  <c r="G35" i="1"/>
  <c r="O13" i="4"/>
  <c r="P13" i="4" s="1"/>
  <c r="B61" i="6"/>
  <c r="I8" i="7"/>
  <c r="I10" i="7"/>
  <c r="G24" i="4"/>
  <c r="P15" i="4" l="1"/>
  <c r="P16" i="4" s="1"/>
  <c r="H34" i="3"/>
  <c r="P8" i="3"/>
  <c r="L47" i="2"/>
  <c r="L49" i="2" s="1"/>
  <c r="G14" i="7"/>
  <c r="K14" i="7"/>
  <c r="M11" i="7"/>
  <c r="F14" i="7"/>
  <c r="D15" i="7" s="1"/>
  <c r="E15" i="7" s="1"/>
  <c r="M4" i="7"/>
  <c r="H14" i="7"/>
  <c r="M10" i="7"/>
  <c r="J14" i="7"/>
  <c r="L14" i="7"/>
  <c r="M8" i="7"/>
  <c r="M9" i="7"/>
  <c r="P10" i="3" l="1"/>
  <c r="P7" i="3"/>
  <c r="P9" i="3"/>
  <c r="P11" i="3"/>
  <c r="M14" i="7"/>
  <c r="J15" i="7"/>
  <c r="H15" i="7"/>
  <c r="I15" i="7"/>
  <c r="L15" i="7"/>
  <c r="K15" i="7"/>
  <c r="G15" i="7"/>
  <c r="P12" i="3" l="1"/>
  <c r="P13" i="3" s="1"/>
  <c r="M15" i="7"/>
  <c r="G16" i="7"/>
  <c r="D16" i="7"/>
  <c r="E16" i="7" s="1"/>
  <c r="L16" i="7" l="1"/>
  <c r="L17" i="7" s="1"/>
  <c r="C18" i="8" s="1"/>
  <c r="H16" i="7"/>
  <c r="H17" i="7" s="1"/>
  <c r="J16" i="7"/>
  <c r="J17" i="7" s="1"/>
  <c r="K16" i="7"/>
  <c r="K17" i="7" s="1"/>
  <c r="C17" i="8" s="1"/>
  <c r="I16" i="7"/>
  <c r="I17" i="7" s="1"/>
  <c r="E17" i="8" l="1"/>
  <c r="D17" i="8"/>
  <c r="F17" i="8"/>
  <c r="M16" i="7"/>
  <c r="C16" i="8"/>
  <c r="M17" i="7"/>
  <c r="E18" i="8"/>
  <c r="D18" i="8"/>
  <c r="F18" i="8"/>
  <c r="E16" i="8" l="1"/>
  <c r="E19" i="8" s="1"/>
  <c r="E20" i="8" s="1"/>
  <c r="D16" i="8"/>
  <c r="D19" i="8" s="1"/>
  <c r="D20" i="8" s="1"/>
  <c r="F16" i="8"/>
  <c r="F19" i="8" s="1"/>
  <c r="F20" i="8" s="1"/>
  <c r="J12" i="2"/>
  <c r="P12" i="2" s="1"/>
  <c r="G37" i="2"/>
  <c r="J6" i="2"/>
  <c r="J14" i="2"/>
  <c r="P14" i="2" s="1"/>
  <c r="J8" i="2"/>
  <c r="P8" i="2" s="1"/>
  <c r="J17" i="2"/>
  <c r="P17" i="2" s="1"/>
  <c r="J20" i="2"/>
  <c r="P20" i="2" s="1"/>
  <c r="J16" i="2"/>
  <c r="P16" i="2" s="1"/>
  <c r="J15" i="2"/>
  <c r="P15" i="2" s="1"/>
  <c r="J21" i="2"/>
  <c r="P21" i="2" s="1"/>
  <c r="J19" i="2"/>
  <c r="P19" i="2" s="1"/>
  <c r="J18" i="2"/>
  <c r="P18" i="2" s="1"/>
  <c r="J9" i="2"/>
  <c r="P9" i="2" s="1"/>
  <c r="J7" i="2"/>
  <c r="P7" i="2" s="1"/>
  <c r="J10" i="2"/>
  <c r="P10" i="2" s="1"/>
  <c r="J13" i="2"/>
  <c r="P13" i="2" s="1"/>
  <c r="J11" i="2"/>
  <c r="P11" i="2" s="1"/>
  <c r="J22" i="2"/>
  <c r="P22" i="2" l="1"/>
  <c r="I8" i="11" l="1"/>
  <c r="K8" i="11" s="1"/>
  <c r="I19" i="11" s="1"/>
  <c r="F12" i="18" l="1"/>
  <c r="D22" i="18" l="1"/>
  <c r="D24" i="18"/>
  <c r="D30" i="18"/>
  <c r="H30" i="18" l="1"/>
  <c r="I30" i="18"/>
  <c r="H57" i="18" s="1"/>
  <c r="J30" i="18"/>
  <c r="L57" i="18" s="1"/>
  <c r="H22" i="18"/>
  <c r="I22" i="18"/>
  <c r="J22" i="18"/>
  <c r="H24" i="18"/>
  <c r="I24" i="18"/>
  <c r="H52" i="18" s="1"/>
  <c r="H59" i="18" l="1"/>
  <c r="H62" i="18" s="1"/>
  <c r="L59" i="18"/>
  <c r="L62" i="18" s="1"/>
  <c r="I28" i="18"/>
  <c r="I31" i="18" s="1"/>
  <c r="H50" i="18"/>
  <c r="K30" i="18"/>
  <c r="D57" i="18"/>
  <c r="D59" i="18" s="1"/>
  <c r="D62" i="18" s="1"/>
  <c r="K22" i="18"/>
  <c r="D50" i="18"/>
  <c r="H28" i="18"/>
  <c r="D52" i="18"/>
  <c r="K24" i="18"/>
  <c r="L50" i="18"/>
  <c r="L60" i="18" s="1"/>
  <c r="L63" i="18" s="1"/>
  <c r="J28" i="18"/>
  <c r="J31" i="18" s="1"/>
  <c r="D60" i="18" l="1"/>
  <c r="D63" i="18" s="1"/>
  <c r="Y14" i="23" s="1"/>
  <c r="H60" i="18"/>
  <c r="H63" i="18" s="1"/>
  <c r="L58" i="18"/>
  <c r="D58" i="18"/>
  <c r="K28" i="18"/>
  <c r="H31" i="18"/>
  <c r="K31" i="18" s="1"/>
  <c r="H58" i="18"/>
  <c r="K14" i="23" l="1"/>
  <c r="K14" i="24"/>
  <c r="AA14" i="24"/>
  <c r="C14" i="23"/>
  <c r="F14" i="23" s="1"/>
  <c r="C20" i="23"/>
  <c r="F20" i="23" s="1"/>
  <c r="C17" i="23"/>
  <c r="F17" i="23" s="1"/>
  <c r="C22" i="23"/>
  <c r="F22" i="23" s="1"/>
  <c r="C16" i="23"/>
  <c r="F16" i="23" s="1"/>
  <c r="C21" i="23"/>
  <c r="F21" i="23" s="1"/>
  <c r="C18" i="23"/>
  <c r="F18" i="23" s="1"/>
  <c r="C23" i="23"/>
  <c r="F23" i="23" s="1"/>
  <c r="C19" i="23"/>
  <c r="F19" i="23" s="1"/>
  <c r="C15" i="23"/>
  <c r="F15" i="23" s="1"/>
  <c r="C19" i="24"/>
  <c r="F19" i="24" s="1"/>
  <c r="AA14" i="23" l="1"/>
  <c r="AA25" i="23" s="1"/>
  <c r="S30" i="23" s="1"/>
  <c r="AA28" i="23" s="1"/>
  <c r="AA29" i="23" s="1"/>
  <c r="AA30" i="23" s="1"/>
  <c r="AA31" i="23" s="1"/>
  <c r="F25" i="23"/>
  <c r="L14" i="23" s="1"/>
  <c r="M14" i="23" s="1"/>
  <c r="M25" i="23" s="1"/>
  <c r="E30" i="23" s="1"/>
  <c r="S14" i="24"/>
  <c r="V14" i="24" s="1"/>
  <c r="C14" i="24"/>
  <c r="F14" i="24" s="1"/>
  <c r="C25" i="24"/>
  <c r="F25" i="24" s="1"/>
  <c r="S21" i="24"/>
  <c r="V21" i="24" s="1"/>
  <c r="C17" i="24"/>
  <c r="F17" i="24" s="1"/>
  <c r="S18" i="24"/>
  <c r="V18" i="24" s="1"/>
  <c r="C22" i="24"/>
  <c r="F22" i="24" s="1"/>
  <c r="C21" i="24"/>
  <c r="F21" i="24" s="1"/>
  <c r="S25" i="24"/>
  <c r="V25" i="24" s="1"/>
  <c r="S23" i="24"/>
  <c r="V23" i="24" s="1"/>
  <c r="C23" i="24"/>
  <c r="F23" i="24" s="1"/>
  <c r="C15" i="24"/>
  <c r="F15" i="24" s="1"/>
  <c r="S22" i="24"/>
  <c r="V22" i="24" s="1"/>
  <c r="S19" i="24"/>
  <c r="V19" i="24" s="1"/>
  <c r="S16" i="24"/>
  <c r="V16" i="24" s="1"/>
  <c r="S24" i="24"/>
  <c r="V24" i="24" s="1"/>
  <c r="C24" i="24"/>
  <c r="F24" i="24" s="1"/>
  <c r="C20" i="24"/>
  <c r="F20" i="24" s="1"/>
  <c r="S17" i="24"/>
  <c r="V17" i="24" s="1"/>
  <c r="C18" i="24"/>
  <c r="F18" i="24" s="1"/>
  <c r="S15" i="24"/>
  <c r="V15" i="24" s="1"/>
  <c r="C16" i="24"/>
  <c r="F16" i="24" s="1"/>
  <c r="S20" i="24"/>
  <c r="V20" i="24" s="1"/>
  <c r="E19" i="26" l="1"/>
  <c r="F19" i="26"/>
  <c r="F20" i="26" s="1"/>
  <c r="F26" i="24"/>
  <c r="L14" i="24" s="1"/>
  <c r="M14" i="24" s="1"/>
  <c r="E28" i="23"/>
  <c r="M28" i="23" s="1"/>
  <c r="M29" i="23" s="1"/>
  <c r="M30" i="23" s="1"/>
  <c r="M31" i="23" s="1"/>
  <c r="E17" i="26"/>
  <c r="S26" i="24"/>
  <c r="AB14" i="24" s="1"/>
  <c r="AC14" i="24" s="1"/>
  <c r="H19" i="26" l="1"/>
  <c r="G19" i="26"/>
  <c r="U29" i="24"/>
  <c r="F6" i="26" s="1"/>
  <c r="E29" i="24"/>
  <c r="E6" i="26" s="1"/>
  <c r="E20" i="26"/>
  <c r="H17" i="26"/>
  <c r="G17" i="26"/>
  <c r="G6" i="26" l="1"/>
  <c r="AC26" i="24"/>
  <c r="U31" i="24" s="1"/>
  <c r="H6" i="26"/>
  <c r="M26" i="24"/>
  <c r="G20" i="26"/>
  <c r="H20" i="26"/>
  <c r="E31" i="24" l="1"/>
  <c r="H34" i="24"/>
  <c r="F8" i="26"/>
  <c r="F9" i="26" s="1"/>
  <c r="AC29" i="24"/>
  <c r="AC30" i="24" s="1"/>
  <c r="AC31" i="24" s="1"/>
  <c r="AC32" i="24" s="1"/>
  <c r="E8" i="26" l="1"/>
  <c r="M29" i="24"/>
  <c r="M30" i="24" s="1"/>
  <c r="M31" i="24" s="1"/>
  <c r="M32" i="24" s="1"/>
  <c r="F34" i="24"/>
  <c r="F35" i="24"/>
  <c r="G8" i="26" l="1"/>
  <c r="E9" i="26"/>
  <c r="H8" i="26"/>
  <c r="G9" i="26" l="1"/>
  <c r="H9" i="26"/>
  <c r="E145" i="17" l="1"/>
</calcChain>
</file>

<file path=xl/comments1.xml><?xml version="1.0" encoding="utf-8"?>
<comments xmlns="http://schemas.openxmlformats.org/spreadsheetml/2006/main">
  <authors>
    <author>Luffi</author>
  </authors>
  <commentList>
    <comment ref="I8" authorId="0">
      <text>
        <r>
          <rPr>
            <b/>
            <sz val="9"/>
            <color indexed="81"/>
            <rFont val="Tahoma"/>
            <charset val="1"/>
          </rPr>
          <t>Luffi:</t>
        </r>
        <r>
          <rPr>
            <sz val="9"/>
            <color indexed="81"/>
            <rFont val="Tahoma"/>
            <charset val="1"/>
          </rPr>
          <t xml:space="preserve">
aquí tiene que ir el valor promedio de la hora de mano de obra directa del area de aluminio
</t>
        </r>
      </text>
    </comment>
    <comment ref="C17" authorId="0">
      <text>
        <r>
          <rPr>
            <b/>
            <sz val="9"/>
            <color indexed="81"/>
            <rFont val="Tahoma"/>
            <charset val="1"/>
          </rPr>
          <t>Luffi:</t>
        </r>
        <r>
          <rPr>
            <sz val="9"/>
            <color indexed="81"/>
            <rFont val="Tahoma"/>
            <charset val="1"/>
          </rPr>
          <t xml:space="preserve">
</t>
        </r>
      </text>
    </comment>
  </commentList>
</comments>
</file>

<file path=xl/sharedStrings.xml><?xml version="1.0" encoding="utf-8"?>
<sst xmlns="http://schemas.openxmlformats.org/spreadsheetml/2006/main" count="2560" uniqueCount="1215">
  <si>
    <t>Este módulo estará alimentado por el inventario de  el software contable Siigo,  este módulo será además alimentado por el departamento de compras y  reportara la existencia de materia prima, en inventario, de igual forma hará la respectiva descarga de materiales cuando se requiera de en el área de producción.</t>
  </si>
  <si>
    <t xml:space="preserve">MODULO INVENTARIODE MATERIALES  EN EXISTENCIA </t>
  </si>
  <si>
    <t xml:space="preserve">codigo </t>
  </si>
  <si>
    <t xml:space="preserve">material </t>
  </si>
  <si>
    <t xml:space="preserve">existencia </t>
  </si>
  <si>
    <t xml:space="preserve">valor x metro o unidad </t>
  </si>
  <si>
    <t xml:space="preserve">Total </t>
  </si>
  <si>
    <t>alumino x 100 pulg</t>
  </si>
  <si>
    <t>alumino x 200  pulg</t>
  </si>
  <si>
    <t>alumino x 300  pulg</t>
  </si>
  <si>
    <t>alumino x 400  pulg</t>
  </si>
  <si>
    <t>alumino x 500  pulg</t>
  </si>
  <si>
    <t>alumino x 600  pulg</t>
  </si>
  <si>
    <t>alumino x 1000  pulg</t>
  </si>
  <si>
    <t>alumino x 2000  pulg</t>
  </si>
  <si>
    <t>alumino x 3000   pulg</t>
  </si>
  <si>
    <t xml:space="preserve"> tornilo x 20   pulg</t>
  </si>
  <si>
    <t xml:space="preserve"> tornilo x 40   pulg</t>
  </si>
  <si>
    <t xml:space="preserve"> tornilo x 60   pulg</t>
  </si>
  <si>
    <t xml:space="preserve">tornillos x 80 m </t>
  </si>
  <si>
    <t>vidrio templado x 20 pulg</t>
  </si>
  <si>
    <t>vidrio templado x 60 pulg</t>
  </si>
  <si>
    <t>vidrio templado x 80 pulg</t>
  </si>
  <si>
    <t>vidrio templado x 120 pulg</t>
  </si>
  <si>
    <t>vidrio gravdo x 60 pulg</t>
  </si>
  <si>
    <t>vidrio gravado x 80 pulg</t>
  </si>
  <si>
    <t>vidrio gravado x 120 pulg</t>
  </si>
  <si>
    <t>vidrio gravado x 60 pulg</t>
  </si>
  <si>
    <t xml:space="preserve">soldadura x 20 espesor </t>
  </si>
  <si>
    <t xml:space="preserve">soldadura x 40 espesor </t>
  </si>
  <si>
    <t xml:space="preserve">soldadura x 80 espesor </t>
  </si>
  <si>
    <t xml:space="preserve">Total en inventario en existencia </t>
  </si>
  <si>
    <t xml:space="preserve">NOMINA DE LA LINEA DE ALUMINIO </t>
  </si>
  <si>
    <t xml:space="preserve">VHMOD </t>
  </si>
  <si>
    <t xml:space="preserve">Andres Julian Ramirez </t>
  </si>
  <si>
    <t xml:space="preserve">Vendedor </t>
  </si>
  <si>
    <t xml:space="preserve">Corlos Mario Ospina </t>
  </si>
  <si>
    <t xml:space="preserve">Ayudante De Instalación </t>
  </si>
  <si>
    <t xml:space="preserve">Cristian Andres  Estrada </t>
  </si>
  <si>
    <t xml:space="preserve">Conductor Ayudante </t>
  </si>
  <si>
    <t xml:space="preserve">Eduardo Otalvaro Blandón </t>
  </si>
  <si>
    <t xml:space="preserve">Oficial De Instalación </t>
  </si>
  <si>
    <t xml:space="preserve">Eider Alexander Palacios </t>
  </si>
  <si>
    <t xml:space="preserve">Ayudante de Ensamble </t>
  </si>
  <si>
    <t xml:space="preserve">Almacenista </t>
  </si>
  <si>
    <t xml:space="preserve">Erlys Dary Londoño </t>
  </si>
  <si>
    <t xml:space="preserve">Auxiliar Contable </t>
  </si>
  <si>
    <t xml:space="preserve">Gonzalo Alberto Higuita </t>
  </si>
  <si>
    <t xml:space="preserve">Gonzalo De Jesús Ángel Franco </t>
  </si>
  <si>
    <t xml:space="preserve">Oficial De Ensamble </t>
  </si>
  <si>
    <t xml:space="preserve">Jaime Alberto Isaza </t>
  </si>
  <si>
    <t xml:space="preserve">Jose Manuel Cuitiva </t>
  </si>
  <si>
    <t xml:space="preserve">Oficial de Ensable </t>
  </si>
  <si>
    <t xml:space="preserve">Luis Orlando Trujillo </t>
  </si>
  <si>
    <t xml:space="preserve">Ayudante De Instalación Y Conductor </t>
  </si>
  <si>
    <t xml:space="preserve">Marlon Eduardo Quintero </t>
  </si>
  <si>
    <t>Shirley  Tatiana Parada</t>
  </si>
  <si>
    <t xml:space="preserve">Secretaria </t>
  </si>
  <si>
    <t xml:space="preserve">Victor Alfonso Cardona </t>
  </si>
  <si>
    <r>
      <t xml:space="preserve">FP= </t>
    </r>
    <r>
      <rPr>
        <b/>
        <sz val="12"/>
        <color rgb="FF000000"/>
        <rFont val="Calibri"/>
        <family val="2"/>
      </rPr>
      <t xml:space="preserve">Factor Prestacional Total </t>
    </r>
  </si>
  <si>
    <t xml:space="preserve">Cesantías </t>
  </si>
  <si>
    <t>Vacaciones</t>
  </si>
  <si>
    <t xml:space="preserve">CALCULO VHMOD </t>
  </si>
  <si>
    <t xml:space="preserve">Prima De Servicios </t>
  </si>
  <si>
    <t xml:space="preserve">dias del año </t>
  </si>
  <si>
    <t xml:space="preserve">Int. Sobre Cesantías </t>
  </si>
  <si>
    <t xml:space="preserve">dias festivos del año </t>
  </si>
  <si>
    <t xml:space="preserve">Salud </t>
  </si>
  <si>
    <t xml:space="preserve">dias real laborado al año </t>
  </si>
  <si>
    <t xml:space="preserve">Pensión </t>
  </si>
  <si>
    <t xml:space="preserve">Dias al mes </t>
  </si>
  <si>
    <t xml:space="preserve">horas al año </t>
  </si>
  <si>
    <t xml:space="preserve">Caja D Compensación </t>
  </si>
  <si>
    <t xml:space="preserve">horas al mes </t>
  </si>
  <si>
    <t>Fp=</t>
  </si>
  <si>
    <t>aquí podemos tener en cuenta la eficiencia según la OIT un ser humano puede laborar a una eficienca entre el 85% y 90%</t>
  </si>
  <si>
    <t xml:space="preserve">Fp= Factor Prestacional </t>
  </si>
  <si>
    <t xml:space="preserve">teniendo en cuenta que la eficiencia es del 87% seri asi </t>
  </si>
  <si>
    <t xml:space="preserve">horas reales al mes </t>
  </si>
  <si>
    <t>196  * 87%=</t>
  </si>
  <si>
    <t xml:space="preserve">horas trabajadas con eficiencia </t>
  </si>
  <si>
    <t xml:space="preserve">Prima de Servicios </t>
  </si>
  <si>
    <t xml:space="preserve">NOMINA DE LA LINEA DE ACERO </t>
  </si>
  <si>
    <t xml:space="preserve">Álvaro Mesa Valencia </t>
  </si>
  <si>
    <t>Rosa Ivonne Pérez herrera</t>
  </si>
  <si>
    <t>Verónica Pájaro Puerto</t>
  </si>
  <si>
    <t xml:space="preserve">Rubén Darío Taborda </t>
  </si>
  <si>
    <t xml:space="preserve">Ficha Estandar </t>
  </si>
  <si>
    <t xml:space="preserve">MATERIALES </t>
  </si>
  <si>
    <t>Qe</t>
  </si>
  <si>
    <t>Pe</t>
  </si>
  <si>
    <t>Ce</t>
  </si>
  <si>
    <t xml:space="preserve">alumino gp </t>
  </si>
  <si>
    <t xml:space="preserve">vidrio </t>
  </si>
  <si>
    <t xml:space="preserve">acsesorios </t>
  </si>
  <si>
    <t xml:space="preserve">MANO DE OBRA </t>
  </si>
  <si>
    <t xml:space="preserve">CIF </t>
  </si>
  <si>
    <t xml:space="preserve">Variables </t>
  </si>
  <si>
    <t xml:space="preserve">Fijos </t>
  </si>
  <si>
    <t>Costo Estandar por Unidad =</t>
  </si>
  <si>
    <t>COSTOS UNITARIOS</t>
  </si>
  <si>
    <t>REFERENCIAS A</t>
  </si>
  <si>
    <t>REFERENCIAS B</t>
  </si>
  <si>
    <t>REFERENCIAS  C</t>
  </si>
  <si>
    <t>TOTALES</t>
  </si>
  <si>
    <t>Materiales</t>
  </si>
  <si>
    <t>mano de obra</t>
  </si>
  <si>
    <t>otras variables</t>
  </si>
  <si>
    <t>PRODUCCION/UNIDADES</t>
  </si>
  <si>
    <t>HMOD</t>
  </si>
  <si>
    <t>Montaje</t>
  </si>
  <si>
    <t>Acabado</t>
  </si>
  <si>
    <t>HORA MAQUINA:</t>
  </si>
  <si>
    <t>Corte</t>
  </si>
  <si>
    <t>COSTOS INDIRECTOS</t>
  </si>
  <si>
    <t>CIF</t>
  </si>
  <si>
    <t>VALOR</t>
  </si>
  <si>
    <t>BASE DE DISTRIBUCIÓN</t>
  </si>
  <si>
    <t>Arrendamiento bodega</t>
  </si>
  <si>
    <t>area metros cuadrados</t>
  </si>
  <si>
    <t>Reparacion maquinaria:</t>
  </si>
  <si>
    <t>directo al departamento</t>
  </si>
  <si>
    <t>Seguro incendio de maquinaria</t>
  </si>
  <si>
    <t>DOBLADOR</t>
  </si>
  <si>
    <t>Equipo de carga</t>
  </si>
  <si>
    <t>Mantenimiento edificio</t>
  </si>
  <si>
    <t>Tiempo ocioso:</t>
  </si>
  <si>
    <t>Mantenimiento equipo carga</t>
  </si>
  <si>
    <t>Vigilancia</t>
  </si>
  <si>
    <t>Dotaciòn</t>
  </si>
  <si>
    <t>numero de operarios</t>
  </si>
  <si>
    <t>Servicio alunbrado</t>
  </si>
  <si>
    <t>numero de bombillos</t>
  </si>
  <si>
    <t>Servicio acueducto</t>
  </si>
  <si>
    <t>Cafeteria</t>
  </si>
  <si>
    <t>numero de operaciones</t>
  </si>
  <si>
    <t>Suministros varios</t>
  </si>
  <si>
    <t>corte</t>
  </si>
  <si>
    <t>sodadura</t>
  </si>
  <si>
    <t>cerrajero</t>
  </si>
  <si>
    <t>doblador</t>
  </si>
  <si>
    <t>Nomina:</t>
  </si>
  <si>
    <t>Manejo inventarios</t>
  </si>
  <si>
    <t>depreciacionequipo carga</t>
  </si>
  <si>
    <t>ESTUDIO DE FABRICA</t>
  </si>
  <si>
    <t>PROCESO</t>
  </si>
  <si>
    <t>AREA METROS CUADR.</t>
  </si>
  <si>
    <t>Nº OPERARIO</t>
  </si>
  <si>
    <t>Nº BOMBILLAS</t>
  </si>
  <si>
    <t>Nº OPERACIONES</t>
  </si>
  <si>
    <t>TOTAL</t>
  </si>
  <si>
    <t>T(arrendamiento)</t>
  </si>
  <si>
    <t>metro cuadrados</t>
  </si>
  <si>
    <t>T(vigilancia)</t>
  </si>
  <si>
    <t>T(dotacion)</t>
  </si>
  <si>
    <t>por operario</t>
  </si>
  <si>
    <t>T(servicio alumbrado)</t>
  </si>
  <si>
    <t>por bombilla</t>
  </si>
  <si>
    <t>T(servicio acueducto)</t>
  </si>
  <si>
    <t>por operacion</t>
  </si>
  <si>
    <t>DPT SERVICIOS</t>
  </si>
  <si>
    <t>DPT PRODUCTIVO</t>
  </si>
  <si>
    <t>B.ASIGNA</t>
  </si>
  <si>
    <t>TASA</t>
  </si>
  <si>
    <t xml:space="preserve">SERVICIO AL CLIENTE </t>
  </si>
  <si>
    <t xml:space="preserve">OFICINAS ADMINISTRATIVAS </t>
  </si>
  <si>
    <t>CORTE</t>
  </si>
  <si>
    <t>SERRAJERO</t>
  </si>
  <si>
    <t>SOLDADOR</t>
  </si>
  <si>
    <t>ACABADO</t>
  </si>
  <si>
    <t>ARENDAMIENTO</t>
  </si>
  <si>
    <t>METROS CUADR</t>
  </si>
  <si>
    <t>REPARACION MAQUINAS</t>
  </si>
  <si>
    <t>DIRECTO</t>
  </si>
  <si>
    <t>SEGUROS CONTRA INCENDIOS</t>
  </si>
  <si>
    <t>TIEMPO OCIOSO</t>
  </si>
  <si>
    <t>VIGILANCIA</t>
  </si>
  <si>
    <t>DOTACION UNIFORME</t>
  </si>
  <si>
    <t>No OPERARIOS</t>
  </si>
  <si>
    <t>SERVICIO ALUMBRADO</t>
  </si>
  <si>
    <t>No BOMBILLAS</t>
  </si>
  <si>
    <t>ACUEDUCTO</t>
  </si>
  <si>
    <t>NOMINA</t>
  </si>
  <si>
    <t>DEPRECIACION EQUIPOS</t>
  </si>
  <si>
    <t>MANTENIMIENTO EDIFICIO</t>
  </si>
  <si>
    <t>TOTAL MANEJO INVENTARIO</t>
  </si>
  <si>
    <t>No OPERAciones</t>
  </si>
  <si>
    <t>TOTAL DEPRTAMENTALIZADO</t>
  </si>
  <si>
    <t>COSTOS</t>
  </si>
  <si>
    <t>REFERENCIA 202</t>
  </si>
  <si>
    <t>REFERENCIA 205</t>
  </si>
  <si>
    <t>REFERENCIA 210</t>
  </si>
  <si>
    <t>CMD</t>
  </si>
  <si>
    <t>CMOD</t>
  </si>
  <si>
    <t>ORTAS VARIABLES</t>
  </si>
  <si>
    <t>CIF:</t>
  </si>
  <si>
    <t>CORTE Hmaqui</t>
  </si>
  <si>
    <t>DOBLADO Hmod</t>
  </si>
  <si>
    <t>ACABADO Hmod</t>
  </si>
  <si>
    <t>COSTO UNITARIO</t>
  </si>
  <si>
    <t xml:space="preserve">ORDEN DE PRODUCCION </t>
  </si>
  <si>
    <t>O.P #</t>
  </si>
  <si>
    <t xml:space="preserve">Cliente </t>
  </si>
  <si>
    <t xml:space="preserve">Referencia </t>
  </si>
  <si>
    <t xml:space="preserve">Fecha Y Hora De Inicio </t>
  </si>
  <si>
    <t xml:space="preserve">finalmente esta es la oreden de produccion en la que toda la informacion que se resume producto de los elementos del costo </t>
  </si>
  <si>
    <t xml:space="preserve">Fecha Y Hora De Finalización  </t>
  </si>
  <si>
    <t xml:space="preserve"># Unidades </t>
  </si>
  <si>
    <t xml:space="preserve">Precio De Venta Unitario </t>
  </si>
  <si>
    <t xml:space="preserve">Coste De Venta Unitario </t>
  </si>
  <si>
    <t>Costo De Material De Obra Directa</t>
  </si>
  <si>
    <t>Costo De Mano De Obra Directa</t>
  </si>
  <si>
    <t xml:space="preserve">Costos Indirectos De Fabricación </t>
  </si>
  <si>
    <t xml:space="preserve">Costos Totales </t>
  </si>
  <si>
    <t xml:space="preserve">Costos Unitarios </t>
  </si>
  <si>
    <t xml:space="preserve">Fecha </t>
  </si>
  <si>
    <t xml:space="preserve">Proceso </t>
  </si>
  <si>
    <t>Cantidad</t>
  </si>
  <si>
    <t>Costo Total</t>
  </si>
  <si>
    <t>VHMOD</t>
  </si>
  <si>
    <t xml:space="preserve">Costo Total </t>
  </si>
  <si>
    <t xml:space="preserve">Tasa Predeterminada </t>
  </si>
  <si>
    <t xml:space="preserve">nivel de op real </t>
  </si>
  <si>
    <t xml:space="preserve">costo total </t>
  </si>
  <si>
    <t xml:space="preserve">supervisora </t>
  </si>
  <si>
    <t xml:space="preserve">carlos paz </t>
  </si>
  <si>
    <t xml:space="preserve">Tornero </t>
  </si>
  <si>
    <t xml:space="preserve">Super Numeraria </t>
  </si>
  <si>
    <t xml:space="preserve">Tornero CNC </t>
  </si>
  <si>
    <t xml:space="preserve">Soldador </t>
  </si>
  <si>
    <t>Total</t>
  </si>
  <si>
    <t>Sandra Serna</t>
  </si>
  <si>
    <t xml:space="preserve">Administradora </t>
  </si>
  <si>
    <t xml:space="preserve">NOMINA ADMINISTRACION </t>
  </si>
  <si>
    <t>NOMINA HIERRO</t>
  </si>
  <si>
    <t xml:space="preserve">aquí podemos tener en cuenta la eficiencia según la OIT un ser humano puede laborar a una eficienca entre el 85% y 90%                           Para Sernaluminios la eficiencia es del 87% </t>
  </si>
  <si>
    <t xml:space="preserve"> A. NOMBRE </t>
  </si>
  <si>
    <t>B. FUNCIONES</t>
  </si>
  <si>
    <t>C. SALARIO</t>
  </si>
  <si>
    <t>D. ARP</t>
  </si>
  <si>
    <t>E. FACTOR  PRESTACIONAL FP</t>
  </si>
  <si>
    <t>F. NO CONSTITUYE  SALARIO</t>
  </si>
  <si>
    <t xml:space="preserve"> G. AUX TRANS </t>
  </si>
  <si>
    <t>H. FACTOR  PRESTACIONAL Fp</t>
  </si>
  <si>
    <t xml:space="preserve">I. VHMOD </t>
  </si>
  <si>
    <t>Abel Angel Vaquez</t>
  </si>
  <si>
    <t xml:space="preserve">Juan Daniel Villa </t>
  </si>
  <si>
    <t xml:space="preserve">Mildre  María Ibarra Porto </t>
  </si>
  <si>
    <t xml:space="preserve">Fabian jimenez </t>
  </si>
  <si>
    <t xml:space="preserve">Luis Feernando Rivera </t>
  </si>
  <si>
    <t xml:space="preserve">Darwin Albeiro Casa </t>
  </si>
  <si>
    <t>Nº</t>
  </si>
  <si>
    <t xml:space="preserve">Jairo Serna </t>
  </si>
  <si>
    <t xml:space="preserve">Gerente </t>
  </si>
  <si>
    <t xml:space="preserve">COTIZACIÓN </t>
  </si>
  <si>
    <t xml:space="preserve">PRODUCTO </t>
  </si>
  <si>
    <t>MANO DE OBRA DIRECTA</t>
  </si>
  <si>
    <t>COSTOS INDIRECTOS DE FABRICACIÓN</t>
  </si>
  <si>
    <t xml:space="preserve">Aluminio </t>
  </si>
  <si>
    <t xml:space="preserve">Acero </t>
  </si>
  <si>
    <t xml:space="preserve">Hierro </t>
  </si>
  <si>
    <t xml:space="preserve">SUMINISTROS </t>
  </si>
  <si>
    <t xml:space="preserve">UNIDAD DE MEDIDA </t>
  </si>
  <si>
    <t xml:space="preserve">LINEA DE PRODUCCION </t>
  </si>
  <si>
    <t xml:space="preserve">HORAS </t>
  </si>
  <si>
    <t xml:space="preserve">TOTAL </t>
  </si>
  <si>
    <t xml:space="preserve">Vr. NOMINA/PRESTACION DE SERVICIOS </t>
  </si>
  <si>
    <t xml:space="preserve">TASA DE ASIGNACION </t>
  </si>
  <si>
    <t xml:space="preserve">COSTOS FIJOS </t>
  </si>
  <si>
    <t xml:space="preserve">COSTOS VARIABLES </t>
  </si>
  <si>
    <t>º</t>
  </si>
  <si>
    <t xml:space="preserve">Caja de Compensación </t>
  </si>
  <si>
    <t xml:space="preserve">ICBF </t>
  </si>
  <si>
    <t xml:space="preserve">Sena </t>
  </si>
  <si>
    <t>Promedio VHMOD</t>
  </si>
  <si>
    <t>Horas Reales 87%</t>
  </si>
  <si>
    <t xml:space="preserve">% de eficiencia </t>
  </si>
  <si>
    <t xml:space="preserve">Ayudante </t>
  </si>
  <si>
    <t xml:space="preserve"> que es el qu</t>
  </si>
  <si>
    <t xml:space="preserve"> líneas deberá estar en el recuadro de compras </t>
  </si>
  <si>
    <t>Una vez ubicado el usuario en esta pantalla podrá  ingresar o modificar la información en todo aquello que requiera para llegar al resultdo final; cada uno de los recuadros me trasladaran donde se encra la información uent</t>
  </si>
  <si>
    <t xml:space="preserve">Hoja del costo </t>
  </si>
  <si>
    <t xml:space="preserve">Una vez identificados y calculados los valores de los tres elementos del costo los llevamos a la hoja del costo del producto, y así finalmente se ha costeado el producto teniendo en cuenta todo aquello que directa o indirectamente hizo parte de este; como también se facilita la toma de decisiones y la administración de los recursos productivos de la empresa. </t>
  </si>
  <si>
    <t xml:space="preserve"> </t>
  </si>
  <si>
    <t>CODIGO</t>
  </si>
  <si>
    <t>REFERENCIA</t>
  </si>
  <si>
    <t>VALOR TOTAL</t>
  </si>
  <si>
    <t>UNIDAD DE MEDIDA</t>
  </si>
  <si>
    <t>GRIS PLATA 462</t>
  </si>
  <si>
    <t>GRIS PLATA 192</t>
  </si>
  <si>
    <t>UNIDAD</t>
  </si>
  <si>
    <t>GRIS PLATA 147</t>
  </si>
  <si>
    <t>GRIS PLATA 144</t>
  </si>
  <si>
    <t>GRIS PLATA 194</t>
  </si>
  <si>
    <t>GRIS PLATA 393</t>
  </si>
  <si>
    <t>NATURAL MATE 349</t>
  </si>
  <si>
    <t>NATURAL MATE 147</t>
  </si>
  <si>
    <t>NATURAL MATE 144</t>
  </si>
  <si>
    <t>NATURAL MATE 192</t>
  </si>
  <si>
    <t>NATURAL MATE 193</t>
  </si>
  <si>
    <t>NATURAL MATE 194</t>
  </si>
  <si>
    <t>NATURAL MATE  389</t>
  </si>
  <si>
    <t>NATURAL MATE  390</t>
  </si>
  <si>
    <t>NATURAL MATE 388</t>
  </si>
  <si>
    <t>NATURAL MATE 391</t>
  </si>
  <si>
    <t>NATURAL MATE 387</t>
  </si>
  <si>
    <t>NATURAL MATE 392</t>
  </si>
  <si>
    <t>NATURAL MATE 393</t>
  </si>
  <si>
    <t>NATURAL MATE U 78</t>
  </si>
  <si>
    <t>NATURAL MATE 5346</t>
  </si>
  <si>
    <t>NATURAL MATE 201</t>
  </si>
  <si>
    <t>NATURAL MATE 364</t>
  </si>
  <si>
    <t>NATURAL MATE T 87</t>
  </si>
  <si>
    <t>NATURAL MATE T 244</t>
  </si>
  <si>
    <t>NATURAL MATE T 103</t>
  </si>
  <si>
    <t>NATURAL MATE  SLDID</t>
  </si>
  <si>
    <t>NATURAL MATE F 463</t>
  </si>
  <si>
    <t>NATURAL MATE 156</t>
  </si>
  <si>
    <t>NATURAL MATE 157</t>
  </si>
  <si>
    <t>NATURAL MATE 191</t>
  </si>
  <si>
    <t>NATURAL MATE 190</t>
  </si>
  <si>
    <t>NATURAL MATE 315</t>
  </si>
  <si>
    <t>NATURAL MATE T 237</t>
  </si>
  <si>
    <t>NATURAL MATE T 101</t>
  </si>
  <si>
    <t>NATURAL MATE T 193</t>
  </si>
  <si>
    <t>NATURAL MATE T 193 P.T 02</t>
  </si>
  <si>
    <t>NATURAL MATE 177</t>
  </si>
  <si>
    <t>NATURAL MATE 175</t>
  </si>
  <si>
    <t>NATURAL MATE SL 010</t>
  </si>
  <si>
    <t>NATURAL MATE EMM 405</t>
  </si>
  <si>
    <t>NATURAL MATE EMM 413</t>
  </si>
  <si>
    <t>BRONCE 462</t>
  </si>
  <si>
    <t>BRONCE 249</t>
  </si>
  <si>
    <t>BRONCE 192</t>
  </si>
  <si>
    <t>BRONCE  147</t>
  </si>
  <si>
    <t>BRONCE  193</t>
  </si>
  <si>
    <t>BRONCE  144</t>
  </si>
  <si>
    <t>BRONCE  194</t>
  </si>
  <si>
    <t>BRONCE  388</t>
  </si>
  <si>
    <t>BRONCE  390</t>
  </si>
  <si>
    <t>BRONCE  389</t>
  </si>
  <si>
    <t>BRONCE  392</t>
  </si>
  <si>
    <t>BRONCE  387</t>
  </si>
  <si>
    <t>BRONCE U 78</t>
  </si>
  <si>
    <t>BRONCE 5346</t>
  </si>
  <si>
    <t>BRONCE 5319</t>
  </si>
  <si>
    <t>BRONCE 201</t>
  </si>
  <si>
    <t>BRONCE 364</t>
  </si>
  <si>
    <t>BRONCE T 103</t>
  </si>
  <si>
    <t>BRONCE 704</t>
  </si>
  <si>
    <t>BRONCE 703</t>
  </si>
  <si>
    <t>BRONCE 152</t>
  </si>
  <si>
    <t>BRONCE 707</t>
  </si>
  <si>
    <t>BRONCE 190</t>
  </si>
  <si>
    <t>BRONCE PLATINO CELOS</t>
  </si>
  <si>
    <t>BRONCE 068</t>
  </si>
  <si>
    <t>BRONCE T.198</t>
  </si>
  <si>
    <t>BRONCE T87</t>
  </si>
  <si>
    <t>BRONCE 413</t>
  </si>
  <si>
    <t>PINTURA BLANCA 174</t>
  </si>
  <si>
    <t>PINTURA BLANCA 173</t>
  </si>
  <si>
    <t>PINTURA BLANCA 192</t>
  </si>
  <si>
    <t>PINTURA BLANCA 147</t>
  </si>
  <si>
    <t>PINTURA BLANCA 176</t>
  </si>
  <si>
    <t>PINTURA BLANCA 349</t>
  </si>
  <si>
    <t>PINTURA BLANCA 193</t>
  </si>
  <si>
    <t>PINTURA BLANCA 144</t>
  </si>
  <si>
    <t>PINTURA BLANCA 194</t>
  </si>
  <si>
    <t>PINTURA BLANCA 389</t>
  </si>
  <si>
    <t>PINTURA BLANCA 390</t>
  </si>
  <si>
    <t>PINTURA BLANCA 388</t>
  </si>
  <si>
    <t>PINTURA BLANCA 391</t>
  </si>
  <si>
    <t>PINTURA BLANCA 393</t>
  </si>
  <si>
    <t>PINTURA BLANCA 387</t>
  </si>
  <si>
    <t>PINTURA BLANCA 392</t>
  </si>
  <si>
    <t>PINTURA BLANCA U 78</t>
  </si>
  <si>
    <t>PINTURA BLANCA 5346</t>
  </si>
  <si>
    <t>PINTURA BLANCA 364</t>
  </si>
  <si>
    <t>PINTURA BLANCA 101</t>
  </si>
  <si>
    <t>PINTURA BLANCA 177</t>
  </si>
  <si>
    <t>PINTURA BLANCA 068</t>
  </si>
  <si>
    <t>CHAMI U 78</t>
  </si>
  <si>
    <t>CHAMI 5346</t>
  </si>
  <si>
    <t>CHAMI 201</t>
  </si>
  <si>
    <t>CHAMI 364</t>
  </si>
  <si>
    <t>CHAMI 700</t>
  </si>
  <si>
    <t>CHAMI 702</t>
  </si>
  <si>
    <t>CHAMI 190</t>
  </si>
  <si>
    <t>CHAMI T 87</t>
  </si>
  <si>
    <t>CHAMI 413</t>
  </si>
  <si>
    <t>CRUDO 5332</t>
  </si>
  <si>
    <t>CRUDO C-19</t>
  </si>
  <si>
    <t>CRUDO PLATINO CELOS</t>
  </si>
  <si>
    <t>CRUDO 5479</t>
  </si>
  <si>
    <t>CRUDO A 11</t>
  </si>
  <si>
    <t>CRUDO A 15</t>
  </si>
  <si>
    <t>CRUDO P.T 02</t>
  </si>
  <si>
    <t>CRUDO U 73</t>
  </si>
  <si>
    <t>UNIDAD MEDIDA</t>
  </si>
  <si>
    <t>ANGULO DE  2 X 2 de 3/16</t>
  </si>
  <si>
    <t>MTS</t>
  </si>
  <si>
    <t>ANGULO DE 1 1/2 X 1 1/2 X 3/16</t>
  </si>
  <si>
    <t>ANGULO DE 1 X 1 de 1/8</t>
  </si>
  <si>
    <t>ANGULO DE 1 X 1 de 3/16</t>
  </si>
  <si>
    <t>ARANDELA DE 6'' X 4'' X 3/16</t>
  </si>
  <si>
    <t>UND</t>
  </si>
  <si>
    <t>ARANDELAS DE 2" X 1" X 3/16</t>
  </si>
  <si>
    <t>ARANDELAS DE 3 1/2" X 2 1/2" X 3/16</t>
  </si>
  <si>
    <t>ARANDELAS DE 3 1/2" X 2" X 3/16</t>
  </si>
  <si>
    <t>ARANDELAS DE 6" X 5 1/4" X 3/16</t>
  </si>
  <si>
    <t>BARRA DE 1 1/2</t>
  </si>
  <si>
    <t>BARRA DE 1 1/4</t>
  </si>
  <si>
    <t>BALINERAS DE HERAJE DESLIZANTE</t>
  </si>
  <si>
    <t xml:space="preserve">BARRA DE 1" </t>
  </si>
  <si>
    <t xml:space="preserve">BARRA DE 1/2 </t>
  </si>
  <si>
    <t>BARRA DE 1/4</t>
  </si>
  <si>
    <t>BARRA DE 2 1/2</t>
  </si>
  <si>
    <t>BARRA DE 2"</t>
  </si>
  <si>
    <t xml:space="preserve">BARRA DE 3/4 </t>
  </si>
  <si>
    <t xml:space="preserve">BARRA DE 3/8 </t>
  </si>
  <si>
    <t>BARRA DE 3/16</t>
  </si>
  <si>
    <t>BARRA DE 5/16</t>
  </si>
  <si>
    <t xml:space="preserve">BARRA DE 5/8 </t>
  </si>
  <si>
    <t>BARRA DE 7/8</t>
  </si>
  <si>
    <t>BARRA DE ALUMINIO DE 3/4"</t>
  </si>
  <si>
    <t xml:space="preserve">BARRA DE ALUMINIO EN 1" </t>
  </si>
  <si>
    <t>Barra prolon NA de 050mm Nylon blanco</t>
  </si>
  <si>
    <t xml:space="preserve">Barra prolon NA de 060mm Nylon negro </t>
  </si>
  <si>
    <t>Brida cuadrada de 3'' x 3'' x 1/2</t>
  </si>
  <si>
    <t>BRIDA CUADRADA DE 3" RANURADA DE 1/4</t>
  </si>
  <si>
    <t>BRIDA CUADRADA DE 4" X 2" x3/16</t>
  </si>
  <si>
    <t>BRIDA CUADRADA DE 5" X 4"</t>
  </si>
  <si>
    <t>BRIDA CUADRADA DE 8" X 10</t>
  </si>
  <si>
    <t>BRIDA DE 1 1/4 X 1/2 X 3/16</t>
  </si>
  <si>
    <t>BRIDA DE 1 1/2" X 1/2" X 3/16</t>
  </si>
  <si>
    <t>Brida de 2'' x 1/2 x 1/4</t>
  </si>
  <si>
    <t>BRIDA DE 2" x 1" X 3/16</t>
  </si>
  <si>
    <t>BRIDA DE 2" X 1/2" X 1/8</t>
  </si>
  <si>
    <t>BRIDA DE 2" X 1/2" X 3/16</t>
  </si>
  <si>
    <t>BRIDA DE 3 1/2" X 2" X 3/16</t>
  </si>
  <si>
    <t>BRIDA DE 3'' X 1/2 X 3/16</t>
  </si>
  <si>
    <t>BRIDA DE 3'' X 1 1/2 X 1/8</t>
  </si>
  <si>
    <t>BRIDA DE 3" X 1 1/2" X 3/16</t>
  </si>
  <si>
    <t>BRIDA DE 3" X 1 1/4" X 3/16</t>
  </si>
  <si>
    <t>BRIDA DE 4" X 1/2" x 3/16</t>
  </si>
  <si>
    <t>BRIDA PARA CHAPA</t>
  </si>
  <si>
    <t xml:space="preserve">BRIDAS DE 3 1/2" </t>
  </si>
  <si>
    <t>BRIDAS DE 3"</t>
  </si>
  <si>
    <t>BRIDAS CUADRADAS</t>
  </si>
  <si>
    <t>BRIDAS REDONDAS</t>
  </si>
  <si>
    <t>BRIDAS DE 6" X 3/4" X 3/16"</t>
  </si>
  <si>
    <t>BRIDAS DE 6" X 4" X 3/16"</t>
  </si>
  <si>
    <t>CODO EN T DE 1"</t>
  </si>
  <si>
    <t>CODO EN T DE 2"</t>
  </si>
  <si>
    <t xml:space="preserve">CODO DE 2'' </t>
  </si>
  <si>
    <t>CODOS DE 1 1/2"</t>
  </si>
  <si>
    <t>CODOS DE 1 1/4"</t>
  </si>
  <si>
    <t>CODOS DE 1"</t>
  </si>
  <si>
    <t xml:space="preserve">CODOS DE 2" </t>
  </si>
  <si>
    <t>DISCOS DE 1 1/2" X 3/16"</t>
  </si>
  <si>
    <t>DISCOS DE 1 1/4 X 3/16</t>
  </si>
  <si>
    <t>DISCOS DE 2 1/2 X 1/8 CON PERFORACION DE 1 1/2</t>
  </si>
  <si>
    <t>DISCOS DE 2 1/2" X 3/16"</t>
  </si>
  <si>
    <t>DISCOS DE 2 1/4" X 1/8"</t>
  </si>
  <si>
    <t>DISCOS DE 2" X 3/16"</t>
  </si>
  <si>
    <t>DISCOS DE 3" X 3/16"</t>
  </si>
  <si>
    <t>DISCOS DE 4 1/2" de 3/16</t>
  </si>
  <si>
    <t>DISCOS DE 5" de 3/16</t>
  </si>
  <si>
    <t>DISCOS DE 6" de 3/16</t>
  </si>
  <si>
    <t>DISCOS DE 8" de 3/16</t>
  </si>
  <si>
    <t xml:space="preserve">DISCO DE 12'' 1/2 X 1/2 </t>
  </si>
  <si>
    <t>DISCOS DE 2"</t>
  </si>
  <si>
    <t>DISCOS DE 1'' 1/2"</t>
  </si>
  <si>
    <t>DISCOS DE 1 1/4</t>
  </si>
  <si>
    <t>DISCOS DE 2" CON ROSCA DE 3/8 Y 5/16</t>
  </si>
  <si>
    <t>DISCOS DE 2 1/4"</t>
  </si>
  <si>
    <t>DISCOS DE 4" X 2 1/2" X 3/16"</t>
  </si>
  <si>
    <t>GUIAS DE VENTANAS Y PUERTAS</t>
  </si>
  <si>
    <t>ORRING DE 1''</t>
  </si>
  <si>
    <t>PLATINA DE 1 1/2" X 3/16"</t>
  </si>
  <si>
    <t>PLATINA DE 1 1/2 X 1/4</t>
  </si>
  <si>
    <t>PLATINA DE 1 1/4 x 3/16</t>
  </si>
  <si>
    <t>PLATINA DE 1" x 1/8</t>
  </si>
  <si>
    <t>PLATINA DE 2'' X 1/4</t>
  </si>
  <si>
    <t>PLATINA DE 2" x 1/8</t>
  </si>
  <si>
    <t>PLATINA DE 3'' X 1/4</t>
  </si>
  <si>
    <t>PLATINA DE 3/4 x 3/16</t>
  </si>
  <si>
    <t>PLATINA DE 4" de 3/16</t>
  </si>
  <si>
    <t>PLATINA DE 4'' X 1/4</t>
  </si>
  <si>
    <t>PLATINA REDONDA DE 4" X 2"</t>
  </si>
  <si>
    <t>PLATINA DE 1 1/2" X 3/16"  Herraje curvo</t>
  </si>
  <si>
    <t>PLATINA REDONDA DE 4'' X 2'' herraje acrilico</t>
  </si>
  <si>
    <t>PRISIONERO DE 5/16 X 5/16</t>
  </si>
  <si>
    <t>SCHEDULE 10 DE 1"</t>
  </si>
  <si>
    <t>SCHEDULE 40 DE 1 1/2"</t>
  </si>
  <si>
    <t>TAPABRIDA DE 2 1/2 X 1 1/2</t>
  </si>
  <si>
    <t>TAPA BRIDAS DE 3 1/2" X 2"</t>
  </si>
  <si>
    <t xml:space="preserve">TAPA BRIDAS DE 3" X 1 1/2" </t>
  </si>
  <si>
    <t>TORNILLO BRISTOL AVELLANADO DE 1/4 X 2''</t>
  </si>
  <si>
    <t>TORNILLO BRISTOL AVELLANADO DE 1/4 X 1 1/2</t>
  </si>
  <si>
    <t>TORNILLO BRISTOL AVELLANADO DE 1/4 X 1''</t>
  </si>
  <si>
    <t>TORNILLO BRISTOL AVELLANADO DE  5/16 X 1''</t>
  </si>
  <si>
    <t>TORNILLO BRISTOL AVELLANADO DE 5/16 X 2''</t>
  </si>
  <si>
    <t>TORNILLO BRISTOL AVELLANADO DE 5/16 X 2'' 1/2</t>
  </si>
  <si>
    <t>TORNILLO BRISTOL AVELLANADO DE 3/8 X 3/4''</t>
  </si>
  <si>
    <t>TORNILLO BRISTOL AVELLANADO DE 3/8 X 1 1/4''</t>
  </si>
  <si>
    <t>TORNILLO BRISTOL AVELLANADO DE 3/8 X 1''</t>
  </si>
  <si>
    <t>TORNILLO BUTTON DE 5/16 X 1 1/2</t>
  </si>
  <si>
    <t>TORNILLO BUTTON DE 1 1/4 X 1 1/2</t>
  </si>
  <si>
    <t>TORNILLO HEXAGONO 304 DE 1/4</t>
  </si>
  <si>
    <t>TORNILLO SOQUER DE 5/16 X 1 1/2</t>
  </si>
  <si>
    <t>TUBO CUADRADO DE 1 X 1 cal 18</t>
  </si>
  <si>
    <t>TUBO CUADRADO DE 1/2 X 1/2 CAL 18</t>
  </si>
  <si>
    <t>TUBO CUADRADO DE 3/4 X 3/4 CAL 16</t>
  </si>
  <si>
    <t xml:space="preserve">TUBO CUADRADO 3/4 X 3/4  CAL 20 </t>
  </si>
  <si>
    <t xml:space="preserve">TUBO CUADRADO DE 2 X 2 </t>
  </si>
  <si>
    <t>TUBO RD DE 1 1/2" cal 16</t>
  </si>
  <si>
    <t>TUBO RD DE 1 1/2" cal 18</t>
  </si>
  <si>
    <t>TUBO RD DE 1 1/4 cal 16</t>
  </si>
  <si>
    <t>TUBO RD DE 1 1/4" cal 18</t>
  </si>
  <si>
    <t>TUBO RD DE 1" cal 18</t>
  </si>
  <si>
    <t>TUBO RD DE 1/2" cal 18</t>
  </si>
  <si>
    <t>TUBO RD DE 2 1/2" cal 16</t>
  </si>
  <si>
    <t>TUBO RD DE 2'' RANURADO cal 16</t>
  </si>
  <si>
    <t>TUBO RD DE 2" cal 18</t>
  </si>
  <si>
    <t>TUBO RD DE 3'' CAL 16</t>
  </si>
  <si>
    <t>TUBO RD DE 3/4" cal 18</t>
  </si>
  <si>
    <t>TUBING RD DE 3/8" cal 18</t>
  </si>
  <si>
    <t>TUBO RD DE 5/8" cal 18</t>
  </si>
  <si>
    <t>TUBO RD DE 7/8 cal 18</t>
  </si>
  <si>
    <t>TUBO RECTANGULAR DE 2  X 1 cal 16</t>
  </si>
  <si>
    <t>TUBO RECTANGULAR DE 2'' X 4'' CAL 16</t>
  </si>
  <si>
    <t>TUERCAS DE 5/16 X 3MM</t>
  </si>
  <si>
    <t xml:space="preserve">VARILLA INOX DE 3/8 </t>
  </si>
  <si>
    <t>VARILLA INOX DE 1/4</t>
  </si>
  <si>
    <t>VARILLA INOX DE 5/16</t>
  </si>
  <si>
    <t xml:space="preserve">rodamiento en y </t>
  </si>
  <si>
    <t>ACCESORIO DOBLE PARA MESA DE ESCRITORIO DE 22 CM CON 20,5 DE ALTURA</t>
  </si>
  <si>
    <t>BOTONES DE 3/4 X 2,5CM</t>
  </si>
  <si>
    <t>BOTONES DE 5/8</t>
  </si>
  <si>
    <t>BISAGRAS VIDRIO - VIDRIO</t>
  </si>
  <si>
    <t>BISAGRA EN PLATINJA  BATIENTE</t>
  </si>
  <si>
    <t>BISAGRA BATIENTE VIDRIO- VIDRIO  EN TOCETOS</t>
  </si>
  <si>
    <t xml:space="preserve">CABEZOTES DE 1'' PARA TOCETO </t>
  </si>
  <si>
    <t>CABEZOTES DE 3/4''</t>
  </si>
  <si>
    <t>CABEZOTES DE 7/8</t>
  </si>
  <si>
    <t xml:space="preserve">CHAPA DE 12 X 12 </t>
  </si>
  <si>
    <t>CHAPA TIPO BOLA DE 10X10</t>
  </si>
  <si>
    <t>ESQUINERO</t>
  </si>
  <si>
    <t>FLAUTA DE 1 1/4 X 10CM X 40 ENTRE PUNTOS de 2 puntos</t>
  </si>
  <si>
    <t>FLAUTA RANURADA DE 1 1/2 X 8CMX 3,5 DISTANCIA ENTRE PUNTOS de 2 puntos</t>
  </si>
  <si>
    <t>FLAUTAS DE 1 '' X 10 CM  DE 2 PUNTOS</t>
  </si>
  <si>
    <t>FLAUTAS DE 1 1/2 X 13 CM X 4 ENTRE PUNTOS  DE 2 PUNTOS PARA GATO</t>
  </si>
  <si>
    <t>FLAUTAS DE 1/2 X 21 CM X 5 ENTRE PUNTOS DE 3 PUNTOS</t>
  </si>
  <si>
    <t>FLAUTAS DE 1 1/2 X 13 CM X 5 ENTRE PUNTOS  DE 2 PUNTOS</t>
  </si>
  <si>
    <t>LLAVES PARA GAS DE 7 CM EN 1''</t>
  </si>
  <si>
    <t>MANIJA 100-80 EN 1''</t>
  </si>
  <si>
    <t>MANIJA 120-100 EN 1''</t>
  </si>
  <si>
    <t>MANIJA 20-12 EN 1/2</t>
  </si>
  <si>
    <t>MANIJA 40-20 EN 1''</t>
  </si>
  <si>
    <t>MANIJA 50-30 EN 1''</t>
  </si>
  <si>
    <t>MANIJA 60-40 EN 1''</t>
  </si>
  <si>
    <t>MONEDAS DE 1'' PARA NIVELADOR  CON TORNILLO</t>
  </si>
  <si>
    <t>MONEDAS CIEGAS PARA TOCETO DE 1''</t>
  </si>
  <si>
    <t>MONEDAS DE 1'' PARA TOCETO CON TORNILLO</t>
  </si>
  <si>
    <t>NIVELADORES DE 1 1/4 CON ORRIN DE 2,8 CM</t>
  </si>
  <si>
    <t>NIVELADORES DE 1'' X 15MM</t>
  </si>
  <si>
    <t>NIVELADORES DE 1'' X 1CM</t>
  </si>
  <si>
    <t>NIVELADORES DE 1'' X 2,5CM</t>
  </si>
  <si>
    <t>NIVELADORES DE 1'' X 2CM</t>
  </si>
  <si>
    <t>NIVELADORES DE 1'' X 3CM</t>
  </si>
  <si>
    <t xml:space="preserve">NIVELADORES DE 1'' X 4 CM </t>
  </si>
  <si>
    <t>NIVELADORES DE 1'' X 5CM</t>
  </si>
  <si>
    <t>NIVELADORES DE 1'' X 6CM</t>
  </si>
  <si>
    <t>NIVELADORES DE 3/4'' X 2CM</t>
  </si>
  <si>
    <t xml:space="preserve">NIVELADORES EN 3/4 DE 3,7 CM </t>
  </si>
  <si>
    <t>OJO DE BUEY</t>
  </si>
  <si>
    <t>PASADOR EN PLATINA</t>
  </si>
  <si>
    <t>PASADOR TIPO BISAGRA</t>
  </si>
  <si>
    <t>PASADORES DE LUJO</t>
  </si>
  <si>
    <t>PASADORES DE LUJO EN PLATINA CON RECIBIDOR</t>
  </si>
  <si>
    <t xml:space="preserve">PATAS DE 2'' PARA MESA DE CENTRO </t>
  </si>
  <si>
    <t>PATAS PARA MESA DE 2'' X 68CM</t>
  </si>
  <si>
    <t>PERCHERO DE 7CM EN 1/2</t>
  </si>
  <si>
    <t>percheros en L de 21 cm con moneda y brida de 1 1/2</t>
  </si>
  <si>
    <t>PIVOTES</t>
  </si>
  <si>
    <t>REPISERO TIPO L</t>
  </si>
  <si>
    <t>RODAMIENTO EN PLATINA Y NYLON</t>
  </si>
  <si>
    <t>RODAMIENTO EN NYLON Y BARRA DE 1''</t>
  </si>
  <si>
    <t>RODAMIENTO EN NYLON</t>
  </si>
  <si>
    <t>RODAMIENTOS DE HERRAJE DESLIZANTE SENCILLO</t>
  </si>
  <si>
    <t>SOPORTES DE VIDRIO DE 18 CM EN 1/2 CON ORRING</t>
  </si>
  <si>
    <t xml:space="preserve">SOPORTES DE 3/8 CON ORRING DE 40 CM </t>
  </si>
  <si>
    <t>SOPORTES PARA VIDRIO DE ESCRITORIO DE 20CM</t>
  </si>
  <si>
    <t>TOALLEROS EN 3/4 DE 40CM ENTRE PERFORACIONES</t>
  </si>
  <si>
    <t>TOALLEROS EN 5/8 DE 30CM ENTRE PERFORACIONES</t>
  </si>
  <si>
    <t>TOCETO DE 10CM Y 3/4</t>
  </si>
  <si>
    <t>TOCETO DE 10CM Y 7/8</t>
  </si>
  <si>
    <t>TOCETO DE 13CM Y 1''</t>
  </si>
  <si>
    <t>TOCETO DE 20CM Y 1''</t>
  </si>
  <si>
    <t>TOCETO ESQUINERO DE 20CM X 10CM EN 1''</t>
  </si>
  <si>
    <t>TOCETO ESQUINERO DE 8CM DE ALTO Y 8 CM DE LADO EN 1''</t>
  </si>
  <si>
    <t>TOCETO ESTANDAR DE 10 CM Y 1''</t>
  </si>
  <si>
    <t xml:space="preserve">TOCETOS EN T DOBLES DE 10CM </t>
  </si>
  <si>
    <t xml:space="preserve">BUJES DE 3/4 DE 8 MM </t>
  </si>
  <si>
    <t xml:space="preserve">BUJES DE 3/4 DE 3 CM </t>
  </si>
  <si>
    <t>TORNILLO TUERCA Y ARANDELA 1/2X4´1/4</t>
  </si>
  <si>
    <t>TORNILLO TUERCA Y ARANDELA 7´X3/8</t>
  </si>
  <si>
    <t>TORNILLO 8X3/8 C.P CRUDOS</t>
  </si>
  <si>
    <t>TORNILLO 8X3/8 C.R NEGROS</t>
  </si>
  <si>
    <t>TORNILLO6X1/2 C.R NEGROS</t>
  </si>
  <si>
    <t>TORNILLO6X1/2 C.R CRUDOS</t>
  </si>
  <si>
    <t>TORNILLO6X1/2 C.P CRUDOS</t>
  </si>
  <si>
    <t>TORNILLO6X1/2 C.P NEGROS</t>
  </si>
  <si>
    <t>TORNILLO 8X1/2 C.R CRUDOS</t>
  </si>
  <si>
    <t>TORNILLO 8X1/2 C.P  CRUDOS</t>
  </si>
  <si>
    <t>TORNILLO 8X1/2 C.R  NEGROS</t>
  </si>
  <si>
    <t>TORNILLO 8X1/2 C.P  NEGROS</t>
  </si>
  <si>
    <t>TORNILLO 8X1 C. R NEGROS</t>
  </si>
  <si>
    <t>TORNILLO 8X1 C. R CRUDOS</t>
  </si>
  <si>
    <t>TORNILLO 8X1 C. P NEGROS</t>
  </si>
  <si>
    <t>TORNILLO 8X1 C. P CRUDOS</t>
  </si>
  <si>
    <t>TORNILLO 8X11/2 C.P NEGROS</t>
  </si>
  <si>
    <t>TORNILLO 8X11/2 C.P CRUDOS</t>
  </si>
  <si>
    <t>TORNILLO 8X2 C.P NEGROS</t>
  </si>
  <si>
    <t>TORNILLOS 8X2 C.P CRUDOS</t>
  </si>
  <si>
    <t>TORNILLOS 8X3 C.P CRUDOS</t>
  </si>
  <si>
    <t>TORNILLO 10X3 C.P CRUDOS</t>
  </si>
  <si>
    <t>PERNOS DE 3/8 x 6"</t>
  </si>
  <si>
    <t>PERNOS DE 3/8 x 3"</t>
  </si>
  <si>
    <t>PERNOS DE 3/8 x 2"</t>
  </si>
  <si>
    <t>PERNOS DE 1/2 X 2 1/2"</t>
  </si>
  <si>
    <t>PERNOS(1/4) 5/16X2´´</t>
  </si>
  <si>
    <t>TAPONES TUBO ( T- 87)</t>
  </si>
  <si>
    <t>TAPONES BLANCOS REDONDO CORTINEROS</t>
  </si>
  <si>
    <t>TAPONES REDONDO GRIS 1,9</t>
  </si>
  <si>
    <t>TPONES REDONDO DE 1,9</t>
  </si>
  <si>
    <t>TAPONES TUBO REDONDO 1,5</t>
  </si>
  <si>
    <t>TAPONES TUBO CUADRADO 3/4</t>
  </si>
  <si>
    <t>TAPONES TBO CUADRADO 1´´</t>
  </si>
  <si>
    <t>TAPONES TUBO ( T117)</t>
  </si>
  <si>
    <t>TAPONES TUBO ( T97)</t>
  </si>
  <si>
    <t>TAPONES REDONDOS DE 1´´</t>
  </si>
  <si>
    <t xml:space="preserve">TAPONES NEGROS  REDONDOS 1 1/4 </t>
  </si>
  <si>
    <t>TAPONES NEGROS REDONDO 1 1/2</t>
  </si>
  <si>
    <t>PEGA PL 285  x 3 litros</t>
  </si>
  <si>
    <t>PEGA XL galon 1/2</t>
  </si>
  <si>
    <t>ESMALTE PINTURA GRIS</t>
  </si>
  <si>
    <t>ANTICORROSIVO NEGRO galon</t>
  </si>
  <si>
    <t>ANTICORROSIVO GRIS galon</t>
  </si>
  <si>
    <t>pliego</t>
  </si>
  <si>
    <t>LIJAS 600</t>
  </si>
  <si>
    <t>LIJAS 400</t>
  </si>
  <si>
    <t>LIJAS 360</t>
  </si>
  <si>
    <t>LIJAS  220</t>
  </si>
  <si>
    <t>LIJAS 180</t>
  </si>
  <si>
    <t>LIJAS 150</t>
  </si>
  <si>
    <t>metros</t>
  </si>
  <si>
    <t>LIJAS 120</t>
  </si>
  <si>
    <t>LIJAS 100</t>
  </si>
  <si>
    <t>LIJAS 80</t>
  </si>
  <si>
    <t>LIJAS 60</t>
  </si>
  <si>
    <t>CHUPAS DE VIDRIO DE 3 NARANJADAS =2 Y PLATIADA =1</t>
  </si>
  <si>
    <t>TAPAS DE ZOCALO # 9 MATE</t>
  </si>
  <si>
    <t>STATUS DOORCLOSER GATO IDRAULICO SUPERIOR</t>
  </si>
  <si>
    <t>BISAGRA DE PISO VAIVEN 90 GRADO  (IDEACE)</t>
  </si>
  <si>
    <t>BISAGRA DE PISO VAIVEN 90 GRADO  GATO REFE.31</t>
  </si>
  <si>
    <t>PIVOTES AEREOS PLATINA</t>
  </si>
  <si>
    <t>PIVOTES PISO CIRCULAR</t>
  </si>
  <si>
    <t>PIVOTES PISO RECTANGULAR</t>
  </si>
  <si>
    <t>CHAZOS DE COLA MARRANO</t>
  </si>
  <si>
    <t>TOPE MEDIA LUNA</t>
  </si>
  <si>
    <t>RODAMIENTOS DUCACE SIN FRENOS</t>
  </si>
  <si>
    <t>RODAMIENTOS SISTEMA 3825 VENTANA ECONOMICAS</t>
  </si>
  <si>
    <t>RODAJAS DE VITRINAS GRANDES ED. 25</t>
  </si>
  <si>
    <t>RODAJAS DE VITRINA PEQUEÑOS</t>
  </si>
  <si>
    <t xml:space="preserve">OJO MAGICOS AMARILLOS </t>
  </si>
  <si>
    <t>PINSAS PLASTICAS NEGRAS CON NARANJADO</t>
  </si>
  <si>
    <t>RESORTE PARA VENTANAS GUILLOTINA</t>
  </si>
  <si>
    <t>VIDRIOS DE CARETA PARA SOLDAR # 11</t>
  </si>
  <si>
    <t>VIDRIOS DE CARETA PARA SOLDAR # 10</t>
  </si>
  <si>
    <t>VIDRIOS DE CARETA PARA SOLDAR # 12</t>
  </si>
  <si>
    <t>SOLDADURA BULINOX 308 L-16 COLOR ROSADA GRUESA KILOS</t>
  </si>
  <si>
    <t>SOLDADURA 6013-332 DELGADA ( ACERO) KILOS</t>
  </si>
  <si>
    <t>SOLDADURA ARGO 7018 UNIDAD</t>
  </si>
  <si>
    <t>SOLDADURA GRIS DELGADA 6011 KILOS</t>
  </si>
  <si>
    <t>SOLDADURA 60-11 DE 1/8 GRUESA GRIS WEST ARCO UNIDAD</t>
  </si>
  <si>
    <t>HOJAS DE SIERRA # 24</t>
  </si>
  <si>
    <t>HOJAS DE SIERRA # 18</t>
  </si>
  <si>
    <t>silicono dow corning gris ( acero) estaba en la oficina de jj</t>
  </si>
  <si>
    <t>silicona weicon gris flex310 m( que estaba en la oficina de jj)</t>
  </si>
  <si>
    <t xml:space="preserve"> SILICONA ELASTICA GRIS</t>
  </si>
  <si>
    <t>PEGADIT CONSTRUCCION GRIS</t>
  </si>
  <si>
    <t>SILICONA  DOWCIRNING NEGRA</t>
  </si>
  <si>
    <t>SILICONA SIKASIL 1 A NEGRA</t>
  </si>
  <si>
    <t>SILICONA BLANCA sika 1-A</t>
  </si>
  <si>
    <t>SILICONA TRANSPSRENTE</t>
  </si>
  <si>
    <t>SILICONA BLANCA ELASTICA</t>
  </si>
  <si>
    <t>SILICONA TRANSPARENTE PITBULL</t>
  </si>
  <si>
    <t>MASILLA NEGRA PARA PEGAR VIDRIO BOLSAS PEQUEÑAS</t>
  </si>
  <si>
    <t>SILICA GEL KILOS BOLSAS (2)</t>
  </si>
  <si>
    <t xml:space="preserve">GATO HIDRAULICO ( SPIDE) </t>
  </si>
  <si>
    <t>GATO HIDRAULICO ( DURMA)</t>
  </si>
  <si>
    <t>CHAPA SAFE ALCOBA Y BAÑO  CAJA GRANDE</t>
  </si>
  <si>
    <t xml:space="preserve">CHAPA PARA VIDRIO TEMPLADO </t>
  </si>
  <si>
    <t>CHAPA PARA VITRINA COREDIZA( PARESE CERRUCHO)</t>
  </si>
  <si>
    <t>CHAPA SOBREPONER MASTES 64 GATO</t>
  </si>
  <si>
    <t>CHAPA PARA VIDRIO CON PERILLA Y LLAVE POR FUERA CROMADA</t>
  </si>
  <si>
    <t>CHAPA BOLA SATINADA</t>
  </si>
  <si>
    <t>CHAPA BOLA ALCOBA COLOR MADERA</t>
  </si>
  <si>
    <t>CHAPA BOLA CAFÉ</t>
  </si>
  <si>
    <t>CHAPA BOLA CROMADA SCHAGE</t>
  </si>
  <si>
    <t>CHAPA CANDADO REJA YALE</t>
  </si>
  <si>
    <t>CHAPA SENCILLA CISA CROMDA</t>
  </si>
  <si>
    <t>CHAPA PICOLORO DOBLE CILINDRO DURALOCK CAFÉ</t>
  </si>
  <si>
    <t>CHAPA PICOLORO DOBLE CILINDRO IDEACES DURALUCK CROMADA</t>
  </si>
  <si>
    <t>CHAPA PICOLORO YALE 1/2 CILINDRO CAFÉ</t>
  </si>
  <si>
    <t>CHAPA OVERSEAS PICOLORO</t>
  </si>
  <si>
    <t>CHAPA BASTON OVERSEAS ( CAJA BLANCA) ?</t>
  </si>
  <si>
    <t>CHAPA STATUS RIMLOCK</t>
  </si>
  <si>
    <t>CHAPA DE EMBUTIR CON PISTILLO STATUS</t>
  </si>
  <si>
    <t>CHAPA DE EMBUTIR D 20MM CON PISTILLO GATO</t>
  </si>
  <si>
    <t>CHAPA BASTON DOBLE CIL. STATUS              ?</t>
  </si>
  <si>
    <t>CHAPA PICOLORO 1/2 CILINDRO CUER. ONGOSTO CISA</t>
  </si>
  <si>
    <t>CHAPA PICO DE LORO DOBLE CIL.C.ANCHO -CISA</t>
  </si>
  <si>
    <t>CHAPA PICO DE LORO DOBLE CIL.C.ANG. -STATUS</t>
  </si>
  <si>
    <t>CHAPA PICOLORO DE 1/2 CIL. C. ANCHO- CISA</t>
  </si>
  <si>
    <t>CHAPA PICOLORO DOBLE SILINRO, CUER. ANCHA STATUS  ?</t>
  </si>
  <si>
    <t>CHAPA PICOLORO  1/2 CILINDRO STATUS</t>
  </si>
  <si>
    <t>CHAPA PICOLORO DOBLE SILINDRO CON PERILLA (devol. Bolivariana)</t>
  </si>
  <si>
    <t>CHAPA BASTON 1/2 SILINRO STATUS</t>
  </si>
  <si>
    <t>CHAPA BASTON DOBLE SILINDRO STATUS</t>
  </si>
  <si>
    <t>CHAPA PICOLORO CON PERILLA (CAJA BLANCA)</t>
  </si>
  <si>
    <t>CHAPA ANGOSTA DE  INCRUSTAR YALE E-25E CAFÉ</t>
  </si>
  <si>
    <t>CHAPA ANGOSTA DE  INCRUSTAR YALE E-35E CROMADA</t>
  </si>
  <si>
    <t>CHAPA ANGOSTA DE  INCRUSTAR YALE E-25E CROMADA</t>
  </si>
  <si>
    <t>CHAPA CUER. ANGOSTO(E-251) INCRUSTAR CROMADA</t>
  </si>
  <si>
    <t>CHAPA DOBLE MANIJA GIRATORIA(3050ANE) PILLIS NEGRA</t>
  </si>
  <si>
    <t>CHAPA MOVIL-MOVIL(OLIMPIA) MATE</t>
  </si>
  <si>
    <t>CHAPA MOVIL-MOVIL(OLIMPIA) NEGRA</t>
  </si>
  <si>
    <t>CHAPA L-370  YALECAFÉ</t>
  </si>
  <si>
    <t>CHAPAL-370 YALE CROMADA</t>
  </si>
  <si>
    <t>CHAPA SOBREPONER CON CADENA 3 GOLPES DERECH. Yale</t>
  </si>
  <si>
    <t>CHAPA CANDADO SOBREPONER (3021) DERECHA</t>
  </si>
  <si>
    <t>CHAPA 170 1/4 CROMADAS SIN CAJAS</t>
  </si>
  <si>
    <t>CHAPA 170 1/4 AMARILLAS</t>
  </si>
  <si>
    <t>CHAPA 170 1/4 CAFÉ</t>
  </si>
  <si>
    <t>CHAPA 170 - 1/4 CROMADAS</t>
  </si>
  <si>
    <t xml:space="preserve">CHAPA DE EMBUTIR 170 - 1/4 CON PERILLA CROMADA </t>
  </si>
  <si>
    <t>CHAPA 170 1/4 SHLAGER CROMADAS</t>
  </si>
  <si>
    <t>DISCOS DE ZIRCONIO</t>
  </si>
  <si>
    <t>DISCOS DE PULIR DE 4"</t>
  </si>
  <si>
    <t>DISCOS DE CORTE DE 4"</t>
  </si>
  <si>
    <t>DISCO DE CORTE DE 14"</t>
  </si>
  <si>
    <t>PASADOR CRUDO PLANO</t>
  </si>
  <si>
    <t>PASADOR DE LUJO PEQUEÑO CHAMPAÑA</t>
  </si>
  <si>
    <t>PASADOR DE LUJO PEQUEÑO BLANCO</t>
  </si>
  <si>
    <t>PASADOR DE LUJO PEQUEÑO ANOLOCK</t>
  </si>
  <si>
    <t>PASADOR DE LUJO GRANDE  CRUDOS</t>
  </si>
  <si>
    <t>PASADOR DE LUJO GRANDE ANOLOCK</t>
  </si>
  <si>
    <t>PASADOR DE LUJO GRANDE BLANCO</t>
  </si>
  <si>
    <t>CIERRE MEDIA LUNA BRONCE IZQ.</t>
  </si>
  <si>
    <t>CIERRE MEDIA LUNA BRONCE DER.</t>
  </si>
  <si>
    <t>CIERRE DE MEDIA LUNA IZQ. CHAMPAÑA</t>
  </si>
  <si>
    <t>CIERRE DE MEDIA LUNA DER. CHAMPAÑA</t>
  </si>
  <si>
    <t>CIERRE DE MEDIA LUNA IZQ. BLANCO</t>
  </si>
  <si>
    <t>CIERRE DE MEDIA LUNA DER. BLANCO</t>
  </si>
  <si>
    <t>CIERRE DE MEDIA LUNA IZQ.  NEGRO</t>
  </si>
  <si>
    <t>CIERRE DE MEDIA LUNA DER. NEGRO</t>
  </si>
  <si>
    <t>CIERRE DE MEDIA LUNA IZQ. MATE</t>
  </si>
  <si>
    <t>CIERRE DE MEDIA LUNA DER. MATE</t>
  </si>
  <si>
    <t>CHAZOS PLASTICOS  1/4</t>
  </si>
  <si>
    <t>MANIJAS MULTIUSOS ( VYP) NEGRA</t>
  </si>
  <si>
    <t>MANIJAS MULTIUSOS ( VYP) MATE</t>
  </si>
  <si>
    <t>CANTONERA GATO ( REFE. 730)</t>
  </si>
  <si>
    <t>CHAPA MIVIL MOVIL MUESTRA EN UN TUBO ( T-244 ) MATE</t>
  </si>
  <si>
    <t>CHAPA TUBULAR PARA BAÑO - ALCOBA DOBLE MANIJA CROMADA</t>
  </si>
  <si>
    <t>CHAPA JAWAR 1/2 CARA BLANCA</t>
  </si>
  <si>
    <t>CHAPA JAWAR 1/2 CARA NEGRA</t>
  </si>
  <si>
    <t>CHAPA JAWAR DOBLE CAFÉ</t>
  </si>
  <si>
    <t>CHAPA JAWAR 1/2 CARA CAFÉ</t>
  </si>
  <si>
    <t>CHAPA JAWAR DOBLE CHAMPAÑA</t>
  </si>
  <si>
    <t>CHAPA JAWAR 1/2 CARA CHAPAÑA</t>
  </si>
  <si>
    <t>CHAPA JAWAR DOBLE MATE</t>
  </si>
  <si>
    <t>CHAPAS JAWAR 1/2 CARA MATE</t>
  </si>
  <si>
    <t xml:space="preserve">TIRADERA DE ALUMINIO N/MATE </t>
  </si>
  <si>
    <t xml:space="preserve">TIRADERA DE ALUMINIO GRIS PLATA </t>
  </si>
  <si>
    <t>TIRADERA DE ALUMINIO BLANCO</t>
  </si>
  <si>
    <t>TIRADERA DE ALUMINIO BRONCE</t>
  </si>
  <si>
    <t>SOPORTE DE TOALLA MATE</t>
  </si>
  <si>
    <t>SOPORTE DE TOALLA BRONCE</t>
  </si>
  <si>
    <t>SOPORTE DE TOALLA GRIS PLATA</t>
  </si>
  <si>
    <t>SOPORTE DE TOALLA BLANCO</t>
  </si>
  <si>
    <t>BISAGRA DOBLE</t>
  </si>
  <si>
    <t>BISAGRA CONTINUA AMARILLA 180</t>
  </si>
  <si>
    <t>BISAGRA CONTINUA CROMADA DE 180</t>
  </si>
  <si>
    <t>BISAGRA VAIVEN ENRRESORTADA PARA COSINA GATO</t>
  </si>
  <si>
    <t>BISAGRA DE TACO HIERO PEQUEÑA</t>
  </si>
  <si>
    <t>BISAGRA DE TACOS HIERRO3/8</t>
  </si>
  <si>
    <t>BISAGRA ALUMINIO DE 3" N/MATE</t>
  </si>
  <si>
    <t>BISAGRAS ALUMINIOS 3´´ BLANCAS</t>
  </si>
  <si>
    <t xml:space="preserve">BISAGRA ALUMINIO DE 3" GRIS PLATA </t>
  </si>
  <si>
    <t>BISAGRA ALUMINIO DE 3"  BRONCE</t>
  </si>
  <si>
    <t>BISAGRA ALUMINIO DE 2" BRONCE</t>
  </si>
  <si>
    <t>BISAGRA ALUMINIO DE 2" BLANCA</t>
  </si>
  <si>
    <t>BISAGRA ALUMINIO DE 2" N/MATE</t>
  </si>
  <si>
    <t>BISAGRA ALUMINIO DE 2" GRIS PLATA</t>
  </si>
  <si>
    <t>BISAGRA OMEGA DE 3X3 CAFÉ</t>
  </si>
  <si>
    <t>BISAGRA OMEGA DE 3X3 CROMADA</t>
  </si>
  <si>
    <t>BISAGRA HIERRO 2 1/2X11/4</t>
  </si>
  <si>
    <t>BISAGRAS FLEXION HIERRO31/2X</t>
  </si>
  <si>
    <t>BISAGRA OMEGA 3X1 CAFÉ</t>
  </si>
  <si>
    <t>BISAGRA HIERRO 31/2X2´´</t>
  </si>
  <si>
    <t>BISAGRA OMEGA3X3 AMARILLAS</t>
  </si>
  <si>
    <t>BISAGRAS DE 3 X 3 AMARILLAS</t>
  </si>
  <si>
    <t>BISAGRAS  DE 3 X 3 PLANA HIERRO</t>
  </si>
  <si>
    <t>RODAMIENTOS PISO ESTRIADOS METAL ALUMINIO</t>
  </si>
  <si>
    <t>RODA. 5020 IMPORTADOS</t>
  </si>
  <si>
    <t>RODAMIENTOS SISTEMA MONUMENTAL</t>
  </si>
  <si>
    <t>RODAMIENTO  DOBLE 744 ACERADOS</t>
  </si>
  <si>
    <t>RODAMIENTO 4 RUEDAS ( CARRITO) NEGROS</t>
  </si>
  <si>
    <t>RODAMIENTOS DE CABINA TRIANGULO 3/4</t>
  </si>
  <si>
    <t>RODAMIENTOS DE VIDRIO TEMPLADO</t>
  </si>
  <si>
    <t>RODAMIENTOS 8025</t>
  </si>
  <si>
    <t>RODAMIENTOS 744 NYLON</t>
  </si>
  <si>
    <t>RODAMIENTOS 50-20 IMPORTADOS</t>
  </si>
  <si>
    <t>RODAMIENTOS DE PISO PEQUEÑOS</t>
  </si>
  <si>
    <t>RODAMIENTOS DE PISO GRANDES</t>
  </si>
  <si>
    <t>ROD. SIST. 3825 VENTANA ECONOMICAS</t>
  </si>
  <si>
    <t>FAYEVA NEGRA</t>
  </si>
  <si>
    <t>FAYEVA CAFÉ</t>
  </si>
  <si>
    <t>FAYEVA NATURAL</t>
  </si>
  <si>
    <t>FAYEVA CHAMPAÑA</t>
  </si>
  <si>
    <t>1/2 CAÑA EN ACRILICO  120</t>
  </si>
  <si>
    <t>1/2 CAÑA EN ACRILICO  245</t>
  </si>
  <si>
    <t>1/2 CAÑAS EN ACRILICO 180</t>
  </si>
  <si>
    <t>MANIJAS PROYECTANTES CHAMPAÑA  IZQ.</t>
  </si>
  <si>
    <t>MANIJAS PROYECTANTES CHAMPAÑA  DER.</t>
  </si>
  <si>
    <t>MANIJAS PROYECTANTES NATURAL  IZQ.</t>
  </si>
  <si>
    <t>MANIJAS PROYECTANTES NATURAL DER.</t>
  </si>
  <si>
    <t>MANIJAS PROYECTANTES ANOLOCK IZQ.</t>
  </si>
  <si>
    <t>MANIJAS PROYECTANTES ANOLOCK DER.</t>
  </si>
  <si>
    <t>MANIJAS PROYECTANTES NEGRA  IZQ.</t>
  </si>
  <si>
    <t>MANIJAS PROYECTANTES NEGRA DER.</t>
  </si>
  <si>
    <t>MANIJAS PROYECTANTES BLANCAS IZQ.</t>
  </si>
  <si>
    <t>MANIJAS PROYECTANTES BLANCAS DER.</t>
  </si>
  <si>
    <t>BRAZO PROYECTANTE # 16</t>
  </si>
  <si>
    <t>BRAZO PROYECTANTE # 10</t>
  </si>
  <si>
    <t>BRAZO PROYECTANTE # 8</t>
  </si>
  <si>
    <t>BRAZO PROYECTANTE # 6</t>
  </si>
  <si>
    <t>EMPAQUE 5020 Y 744 VIDRIO 6MM METROS</t>
  </si>
  <si>
    <t>EMPAQUE ESPAGUETIS 3831  REF. C040307  METROS</t>
  </si>
  <si>
    <t>EMPAQUE V. FIJO 4MM REF.C30021  METROS</t>
  </si>
  <si>
    <t>REMACHES 4-4 natural</t>
  </si>
  <si>
    <t>REMACCHES 4-4 NEGROS</t>
  </si>
  <si>
    <t>REMACCHES 4-2 NEGROS</t>
  </si>
  <si>
    <t>REMACHES 4-2 natural</t>
  </si>
  <si>
    <t>y</t>
  </si>
  <si>
    <t xml:space="preserve">REFERENCIA </t>
  </si>
  <si>
    <t>BRAZO # 8</t>
  </si>
  <si>
    <t>BRAZO # 10</t>
  </si>
  <si>
    <t>BISAGRA DE 2"</t>
  </si>
  <si>
    <t>BISAGRA DE 3"</t>
  </si>
  <si>
    <t>CIERRE 1/2 LUNA</t>
  </si>
  <si>
    <t>PICO LORO  DE 1/2 CILINDRO 30</t>
  </si>
  <si>
    <t>PICO LORO  DE DOBLE  CILINDRO 30</t>
  </si>
  <si>
    <t>PICO LORO  DE 1/2 CILINDRO 16</t>
  </si>
  <si>
    <t>PICO LORO  DE DOBLE  CILINDRO 16</t>
  </si>
  <si>
    <t>CHAPA MOVIL MOVIL</t>
  </si>
  <si>
    <t>CHAPA L. 370 NIQUEL</t>
  </si>
  <si>
    <t>CHAPA L. 370 BROCE</t>
  </si>
  <si>
    <t>CHAPA 170 1/4</t>
  </si>
  <si>
    <t>CHAPA DOBLE DURALOCK</t>
  </si>
  <si>
    <t>CHAZOS DE 1/4</t>
  </si>
  <si>
    <t>PABELLAS</t>
  </si>
  <si>
    <t>FLUMICELAS</t>
  </si>
  <si>
    <t>GUIAS 5020 744</t>
  </si>
  <si>
    <t>GUIAS 8025</t>
  </si>
  <si>
    <t>GATO SPEDDY</t>
  </si>
  <si>
    <t>HOJAS CIERRE</t>
  </si>
  <si>
    <t>MANIJA PROYECTANTE</t>
  </si>
  <si>
    <t>MANIJA MULTIUSOS</t>
  </si>
  <si>
    <t>MANIJA DE BAÑO</t>
  </si>
  <si>
    <t>PASADOR DE LUJO PEQUEÑO</t>
  </si>
  <si>
    <t>PASADOR DE LUJO GRANDE</t>
  </si>
  <si>
    <t>PUNTAS</t>
  </si>
  <si>
    <t>RODAMIENTO 5020</t>
  </si>
  <si>
    <t>RODAMIENTO 744</t>
  </si>
  <si>
    <t>RODAMIENTO 5025</t>
  </si>
  <si>
    <t>RODAMIENTO 5025 DOBLE ABB</t>
  </si>
  <si>
    <t>RODAMIENTO DE PISO</t>
  </si>
  <si>
    <t>RODAMIENTO DE CABINA</t>
  </si>
  <si>
    <t>RODAMIENTO DE CABINA EN VT</t>
  </si>
  <si>
    <t>SOPORTE DE TOALLERO</t>
  </si>
  <si>
    <t>1/2 CAÑA</t>
  </si>
  <si>
    <t xml:space="preserve">CERRADURA ESCUDO REDONDO </t>
  </si>
  <si>
    <t>RECIBIDOR ESCUDO REDONDO</t>
  </si>
  <si>
    <t>TAPAS SOCALO</t>
  </si>
  <si>
    <t>TAPAS PISO</t>
  </si>
  <si>
    <t>TARRO CILICONA</t>
  </si>
  <si>
    <t>BISAGRAS GRANDES</t>
  </si>
  <si>
    <t>CHAPETA GRANDE</t>
  </si>
  <si>
    <t>BISAGRAS PEQUEÑAS</t>
  </si>
  <si>
    <t>CHAPETA PEQUEÑA</t>
  </si>
  <si>
    <t>BOTON COLA</t>
  </si>
  <si>
    <t>BOTOM CAMBOR</t>
  </si>
  <si>
    <t>BOTON MONEDA</t>
  </si>
  <si>
    <t>HERRAJE DESLIZANTE ACERO</t>
  </si>
  <si>
    <t>TOCETO CENCILLO</t>
  </si>
  <si>
    <t>FAUTA</t>
  </si>
  <si>
    <t>BISAGRA SENCILLA ACERO</t>
  </si>
  <si>
    <t>4 MM CLARO</t>
  </si>
  <si>
    <t>5 MM CLARO</t>
  </si>
  <si>
    <t>6 MM CLARO</t>
  </si>
  <si>
    <t>8 MM CLARO</t>
  </si>
  <si>
    <t>4 MM BRONCE</t>
  </si>
  <si>
    <t>5 MM BRONCE</t>
  </si>
  <si>
    <t>6 MM BRONCE</t>
  </si>
  <si>
    <t>8 MM BRONCE</t>
  </si>
  <si>
    <t>ESPEJO 4 MM</t>
  </si>
  <si>
    <t>AL CORTE</t>
  </si>
  <si>
    <t>BPB Y BICELADO</t>
  </si>
  <si>
    <t>BPB</t>
  </si>
  <si>
    <t>BICELADO</t>
  </si>
  <si>
    <t xml:space="preserve">4 MM </t>
  </si>
  <si>
    <t xml:space="preserve">5 MM </t>
  </si>
  <si>
    <t xml:space="preserve">6 MM </t>
  </si>
  <si>
    <t xml:space="preserve">8 MM </t>
  </si>
  <si>
    <t>REFERENCIA CRUDO</t>
  </si>
  <si>
    <t>COSTO CRUDO</t>
  </si>
  <si>
    <t>144 CABEZAL</t>
  </si>
  <si>
    <t>194 SILLAR</t>
  </si>
  <si>
    <t>193 JAMBA</t>
  </si>
  <si>
    <t>192 TRASLAPE</t>
  </si>
  <si>
    <t>147 ENGANCHE</t>
  </si>
  <si>
    <t>349 HORIZONTAL</t>
  </si>
  <si>
    <t>462 REFORZADA</t>
  </si>
  <si>
    <t>581 SILLAR ALFA</t>
  </si>
  <si>
    <t>392 CABEZAL</t>
  </si>
  <si>
    <t>387 SILLAR</t>
  </si>
  <si>
    <t>393 JAMBA</t>
  </si>
  <si>
    <t>388 TRASLAPE</t>
  </si>
  <si>
    <t>391 ENGANCHE</t>
  </si>
  <si>
    <t>389 H.I.S</t>
  </si>
  <si>
    <t>390 H.I</t>
  </si>
  <si>
    <t>403 ADAPTADOR</t>
  </si>
  <si>
    <t>173 CABEZ SILLAR</t>
  </si>
  <si>
    <t>174 JAMBA</t>
  </si>
  <si>
    <t>175 ADAPTADOR</t>
  </si>
  <si>
    <t>176 MARCONAVE</t>
  </si>
  <si>
    <t>177 PISAVIDRIO</t>
  </si>
  <si>
    <t>292 DIVISOR</t>
  </si>
  <si>
    <t xml:space="preserve">635 PISA VIDRIO REDONDO </t>
  </si>
  <si>
    <t>416  T 97 CON 175</t>
  </si>
  <si>
    <t>616 SILLAR ALFAJIBA</t>
  </si>
  <si>
    <t>435 PISA VIDRIO PEQUEÑO</t>
  </si>
  <si>
    <t>150 SILLAR</t>
  </si>
  <si>
    <t>151 CABEZAL</t>
  </si>
  <si>
    <t>152 JAMBA</t>
  </si>
  <si>
    <t>157 H.I</t>
  </si>
  <si>
    <t>190 TRASLAPE</t>
  </si>
  <si>
    <t>191 ENGANCHE</t>
  </si>
  <si>
    <t>158 ADAPTADOR</t>
  </si>
  <si>
    <t>706 CABEZAL TRIPLE</t>
  </si>
  <si>
    <t>707 SILLAR TRIPLE</t>
  </si>
  <si>
    <t>706 JAMBA TRIPLE</t>
  </si>
  <si>
    <t>368 U CABINA</t>
  </si>
  <si>
    <t>S 201 CARRILLERA</t>
  </si>
  <si>
    <t>319 CABEZAL V.T</t>
  </si>
  <si>
    <t>346 CABEZAL ACRILICO</t>
  </si>
  <si>
    <t>233 PLATINA TOALLERO</t>
  </si>
  <si>
    <t>ANGULOS 11 1X1</t>
  </si>
  <si>
    <t>ANGULOS 46 1X3/4</t>
  </si>
  <si>
    <t>ANGULOS 611 1/2X1/2</t>
  </si>
  <si>
    <t>ANGULOS 15 1 1/4 X 1 1/4</t>
  </si>
  <si>
    <t>ANGULOS 1E 1 1/2 X 1 1/2</t>
  </si>
  <si>
    <t>ANGULOS 27 2X2</t>
  </si>
  <si>
    <t>ANGULOS 59 3/4 X 3/4</t>
  </si>
  <si>
    <t>ALFAJAS 012 # 2</t>
  </si>
  <si>
    <t>ALFAJAS 612 # 0</t>
  </si>
  <si>
    <t>ALFAJAS 413  # 16</t>
  </si>
  <si>
    <t>ALFAJAS S-32  # 8</t>
  </si>
  <si>
    <t>ALFAJAS 1123 # 11,5</t>
  </si>
  <si>
    <t xml:space="preserve">CANAL EN UA68 PISAVID 1/2X3/8 </t>
  </si>
  <si>
    <t xml:space="preserve">CANAL EN UA74 PISAVID 1/2X1/2 </t>
  </si>
  <si>
    <t>CANAL EN U 89</t>
  </si>
  <si>
    <t>CANAL EN U 66</t>
  </si>
  <si>
    <t>CANAL EN U 55</t>
  </si>
  <si>
    <t>CANAL EN U 44</t>
  </si>
  <si>
    <t>TUBULAR 117 2X1</t>
  </si>
  <si>
    <t>TUBULAR 37 2X1 CON ALETA</t>
  </si>
  <si>
    <t>TUBULAR 74</t>
  </si>
  <si>
    <t>TUBULAR 116 1X1</t>
  </si>
  <si>
    <t>TUBULAR 77 1X1 CON ALETA</t>
  </si>
  <si>
    <t>TUBULAR 78 1X1 DOBLE ALETA</t>
  </si>
  <si>
    <t>TUBULAR 97 1 1/2 X 3/4</t>
  </si>
  <si>
    <t>TUBULAR 3/4 X 3/4 CON ALETA</t>
  </si>
  <si>
    <t>TUBULAR 87 1 1/2X 1 1/2</t>
  </si>
  <si>
    <t>TUBULAR 82 DIVISOR DE PUERTA</t>
  </si>
  <si>
    <t>TUBULAR 83 NAVE PUERTA</t>
  </si>
  <si>
    <t>TUBULAR 84</t>
  </si>
  <si>
    <t>TUBULAR 103 3X1 1/2</t>
  </si>
  <si>
    <t>TUBULAR 244 3X1 1/2 LIVIANO</t>
  </si>
  <si>
    <t>TUBULAR 101 4X1 3/4</t>
  </si>
  <si>
    <t>TUBULAR 95 3X1 CON ALETA</t>
  </si>
  <si>
    <t>TUBULAR 96 3X1 DOBLE ALETA</t>
  </si>
  <si>
    <t>TUBULAR 94 3X1</t>
  </si>
  <si>
    <t>TUBULAR C08 RED 1/2</t>
  </si>
  <si>
    <t>TUBULAR C13 RED 3/4</t>
  </si>
  <si>
    <t>TUBULAR C21 RED 1"</t>
  </si>
  <si>
    <t>SOCALO 369 # 9</t>
  </si>
  <si>
    <t>SOCALO 351 # 10</t>
  </si>
  <si>
    <t>SOCALO 463 F FACHADA</t>
  </si>
  <si>
    <t>PERFIL MICROPERFORADO</t>
  </si>
  <si>
    <t>P 18 PLATINA 1"</t>
  </si>
  <si>
    <t>P 30 PLATINA 1 1/2</t>
  </si>
  <si>
    <t>S 328</t>
  </si>
  <si>
    <t>S 453</t>
  </si>
  <si>
    <t>UAR 16</t>
  </si>
  <si>
    <t>D 28 T CIELO</t>
  </si>
  <si>
    <t>511 FALSA RETICULA</t>
  </si>
  <si>
    <t>S 344 ALAMO PQ</t>
  </si>
  <si>
    <t>S 343 ALAMO GR</t>
  </si>
  <si>
    <t>315 PERSIANA</t>
  </si>
  <si>
    <t>S 479 RIEL W</t>
  </si>
  <si>
    <t>S 391 RIEL COLGANTE</t>
  </si>
  <si>
    <t>F 08</t>
  </si>
  <si>
    <t>700 CABEZAL</t>
  </si>
  <si>
    <t>701 SILLA CAMPESTRE</t>
  </si>
  <si>
    <t>775 SILLA SENCILLA</t>
  </si>
  <si>
    <t>702 JAMBA</t>
  </si>
  <si>
    <t>703 HORIZONTAL</t>
  </si>
  <si>
    <t>704 TRASLAPE</t>
  </si>
  <si>
    <t>705 ENGANCHE</t>
  </si>
  <si>
    <t>840 ADAPTADOR</t>
  </si>
  <si>
    <t>1730 CABLE TRIPLE</t>
  </si>
  <si>
    <t>1729 SILLA TRIPLE</t>
  </si>
  <si>
    <t>1731 JAMBA TRIPLE</t>
  </si>
  <si>
    <t>LÍNEAS PRODUCTIVAS</t>
  </si>
  <si>
    <t>AREA METROS CUADRADOS</t>
  </si>
  <si>
    <t xml:space="preserve">NUMERO DE OPERARIOS </t>
  </si>
  <si>
    <t>COSTO RPIMO</t>
  </si>
  <si>
    <t>ALUMINIO</t>
  </si>
  <si>
    <t>ACERO</t>
  </si>
  <si>
    <t>HIERRO</t>
  </si>
  <si>
    <t>ADMON Y VENTAS</t>
  </si>
  <si>
    <t>MANEJO DE INVENTARIOS</t>
  </si>
  <si>
    <t>TASA DE ASIGNACION</t>
  </si>
  <si>
    <t>BASE DE ASIGNACION</t>
  </si>
  <si>
    <t>DEPARTAMENTOS DE SERVICIO</t>
  </si>
  <si>
    <t>LINEAS PRODUCTIVAS</t>
  </si>
  <si>
    <t>ADMOM Y VENTAS</t>
  </si>
  <si>
    <t>Arrendamiento  departamento productivo hierro.</t>
  </si>
  <si>
    <t>directo</t>
  </si>
  <si>
    <t>Servicios públicos área de hierro</t>
  </si>
  <si>
    <t>Reparación de maquinarias: Acero, aluminio y hierro.</t>
  </si>
  <si>
    <t>Depreciación de maquinaria acero</t>
  </si>
  <si>
    <t>Suministros varios.</t>
  </si>
  <si>
    <t>costo primo de cada línea</t>
  </si>
  <si>
    <t>Arrento  departo  de servicio administración y ventas.</t>
  </si>
  <si>
    <t>metros cuadrados</t>
  </si>
  <si>
    <t>Servicio públicos área de aluminio y acero</t>
  </si>
  <si>
    <t>Nomina administración y ventas</t>
  </si>
  <si>
    <t>número de operarios</t>
  </si>
  <si>
    <t>Impuesto predial: Aluminio y Acero</t>
  </si>
  <si>
    <t>DAMON Y VENTA</t>
  </si>
  <si>
    <t>CLASIFICACION DEL CIF</t>
  </si>
  <si>
    <t>VALOR CIF LÍNEA DE ALUMINIO</t>
  </si>
  <si>
    <t>VALOR CIF LÍNEA DE ACERO</t>
  </si>
  <si>
    <t>VALOR CIF LÍNEA DE HIERRO</t>
  </si>
  <si>
    <t>Variable</t>
  </si>
  <si>
    <t>Fijo</t>
  </si>
  <si>
    <t>Impuesto predial</t>
  </si>
  <si>
    <t>Total de CIF fijos</t>
  </si>
  <si>
    <t>Total de CIF variables</t>
  </si>
  <si>
    <t>Tasa de asignaciòn fija:</t>
  </si>
  <si>
    <t>Tasa de asignaciòn variable:</t>
  </si>
  <si>
    <t>COTIZADOR</t>
  </si>
  <si>
    <t>NOMBRE DEL CLIENTE</t>
  </si>
  <si>
    <t>ORDEN DE PRODUCCION No:</t>
  </si>
  <si>
    <t>O 1</t>
  </si>
  <si>
    <t>CEDULA O NIT</t>
  </si>
  <si>
    <t xml:space="preserve">FECHA </t>
  </si>
  <si>
    <t>VISTA PREVIA DE INFORME</t>
  </si>
  <si>
    <t>ENVIAR A IMPRESORA</t>
  </si>
  <si>
    <t>OBRA</t>
  </si>
  <si>
    <t>MATERIALES</t>
  </si>
  <si>
    <t>ACCESORIOS O SUMINISTROS</t>
  </si>
  <si>
    <t>Horas Reales Mensulea  87%</t>
  </si>
  <si>
    <t>Horas Reales Anuales  87%</t>
  </si>
  <si>
    <r>
      <rPr>
        <b/>
        <sz val="11"/>
        <color rgb="FF000000"/>
        <rFont val="Calibri"/>
        <family val="2"/>
      </rPr>
      <t xml:space="preserve">NOTA: </t>
    </r>
    <r>
      <rPr>
        <sz val="11"/>
        <color rgb="FF000000"/>
        <rFont val="Calibri"/>
        <family val="2"/>
      </rPr>
      <t xml:space="preserve">SERNALUMINIOS S.A.S no cuenta con una nomina de empleados para la lainea de aluminio pero consideramos importante hacerla parte del diseño  del  sistema, dentro de la base de datos por si en algun momento la empresa desea emplear por nomina algun operario para la linea de hierro </t>
    </r>
  </si>
  <si>
    <r>
      <rPr>
        <b/>
        <sz val="11"/>
        <color rgb="FF000000"/>
        <rFont val="Calibri"/>
        <family val="2"/>
      </rPr>
      <t xml:space="preserve">NOTA: </t>
    </r>
    <r>
      <rPr>
        <sz val="11"/>
        <color rgb="FF000000"/>
        <rFont val="Calibri"/>
        <family val="2"/>
      </rPr>
      <t xml:space="preserve">la nomina de administracion hace parte de los costos indirectos de fabricacion CIF, es un costo fijo que sirve a la tres lines de produccion.  </t>
    </r>
  </si>
  <si>
    <t>MANEJO DE  INVENTA.</t>
  </si>
  <si>
    <t>No aplica</t>
  </si>
  <si>
    <t>Horas año % de eficiencia</t>
  </si>
  <si>
    <t xml:space="preserve">tasa de asgnacion </t>
  </si>
  <si>
    <t>SERNALUMINIOS</t>
  </si>
  <si>
    <t>ARTICULO A PRODUCIR</t>
  </si>
  <si>
    <t>CANTIDAD</t>
  </si>
  <si>
    <t>INICIADO</t>
  </si>
  <si>
    <t>TERMINADO</t>
  </si>
  <si>
    <t>PRECIO UNITARIO</t>
  </si>
  <si>
    <t>HORAS TRABAJADAS</t>
  </si>
  <si>
    <t>ASIGNACION</t>
  </si>
  <si>
    <t>NIVEL DE ACTIVIDAD</t>
  </si>
  <si>
    <t>GASTOS INDIRECTOS</t>
  </si>
  <si>
    <t>RESUMEN</t>
  </si>
  <si>
    <t>MATERIAL DIRECTO</t>
  </si>
  <si>
    <t>COSTOS INDIRECTOS DE FABRICACION</t>
  </si>
  <si>
    <t>GASTOS DE ADMINISTRACION</t>
  </si>
  <si>
    <t>GASTOS DE VENTA</t>
  </si>
  <si>
    <t>COSTO DE PRODUCCION</t>
  </si>
  <si>
    <t>UTLIDAD</t>
  </si>
  <si>
    <t>PRECIO VENTA</t>
  </si>
  <si>
    <t>ventana en aluminio mxm con dos rodamientos</t>
  </si>
  <si>
    <t>cantidad unitaria</t>
  </si>
  <si>
    <t>CANTIDAD TOTAL</t>
  </si>
  <si>
    <t>HORAS POR UNIDAD</t>
  </si>
  <si>
    <t xml:space="preserve">CLIENTE </t>
  </si>
  <si>
    <t>NIT</t>
  </si>
  <si>
    <t>HOJA DE COSTO REAL</t>
  </si>
  <si>
    <t>COSTO CROMADO</t>
  </si>
  <si>
    <t>METROS</t>
  </si>
  <si>
    <t>SISTEMA 744</t>
  </si>
  <si>
    <t>SISTEMA5020</t>
  </si>
  <si>
    <t>SISTEMA 3831</t>
  </si>
  <si>
    <t>SISTEMA 8025</t>
  </si>
  <si>
    <t>SISTEMA CABINA</t>
  </si>
  <si>
    <t>156 H.S</t>
  </si>
  <si>
    <t>ANGULOS</t>
  </si>
  <si>
    <t>ALFAJIAS</t>
  </si>
  <si>
    <t>CANALES EN U</t>
  </si>
  <si>
    <t>TUBULARES</t>
  </si>
  <si>
    <t>ZOCALOS</t>
  </si>
  <si>
    <t>PERFILES ESPECIALES</t>
  </si>
  <si>
    <t>SISTEMA MONUMENTAL 7038</t>
  </si>
  <si>
    <t>unidad</t>
  </si>
  <si>
    <t>TENSOR</t>
  </si>
  <si>
    <t>ELEMENTO DEL COSTO</t>
  </si>
  <si>
    <t xml:space="preserve">relacion </t>
  </si>
  <si>
    <t>DIFERENCIA TOTAL</t>
  </si>
  <si>
    <t xml:space="preserve">hoja del costo </t>
  </si>
  <si>
    <t>Variacion</t>
  </si>
  <si>
    <t xml:space="preserve">total </t>
  </si>
  <si>
    <t xml:space="preserve">              </t>
  </si>
  <si>
    <t xml:space="preserve">COTIZADOR </t>
  </si>
  <si>
    <t>Ttotal materiales</t>
  </si>
  <si>
    <t xml:space="preserve">cotizador </t>
  </si>
  <si>
    <t xml:space="preserve">VALOR </t>
  </si>
  <si>
    <t xml:space="preserve"> JAWAR DOBLE CARA </t>
  </si>
  <si>
    <t xml:space="preserve"> JAWAR CENCILLA </t>
  </si>
  <si>
    <t xml:space="preserve"> REMACHES (100) C7U 30 </t>
  </si>
  <si>
    <t>TOALLERO 40 CMT</t>
  </si>
  <si>
    <t>NIVELADOR  5 CM 6CM</t>
  </si>
  <si>
    <t>NIVELADOR  3CM 4CM</t>
  </si>
  <si>
    <t>NIVELADOR  1CM 2CM</t>
  </si>
  <si>
    <t>SOPORTE PLAMIGO 1/2 DE 25 CM</t>
  </si>
  <si>
    <t>PERFORACIONES 4A 10</t>
  </si>
  <si>
    <t>PERFORACIONES 12A 20</t>
  </si>
  <si>
    <t>EMPAQUE 3825</t>
  </si>
  <si>
    <t>EMPAQUE 3831</t>
  </si>
  <si>
    <t>EMPAQUE 3831 ANTIRETRACTIL PL</t>
  </si>
  <si>
    <t>EMPAQUE 3831 VIDRIO 6MM</t>
  </si>
  <si>
    <t>EMPAQUE 5020</t>
  </si>
  <si>
    <t>EMPAQUE 5020 CANALVIDRIOS</t>
  </si>
  <si>
    <t>EMPAQUE 5020 VIDRIO 4MM</t>
  </si>
  <si>
    <t>EMPAQUE 5MM</t>
  </si>
  <si>
    <t>EMPAQUE 8025</t>
  </si>
  <si>
    <t>EMPAQUE ALAMO</t>
  </si>
  <si>
    <t>EMPAQUE CABINA DE BAÑO</t>
  </si>
  <si>
    <t>EMPAQUE CABINA TRAPTE</t>
  </si>
  <si>
    <t>EMPAQUE CABINA VIDRIO TEMPLADO 5MM</t>
  </si>
  <si>
    <t>EMPAQUE CORDÓN ANGEO</t>
  </si>
  <si>
    <t>EMPAQUE CUÑA PROYECTANTE 4MM</t>
  </si>
  <si>
    <t>EMPAQUE CUÑERO 3831</t>
  </si>
  <si>
    <t>EMPAQUE CUÑERO ZÓCALO 10MM</t>
  </si>
  <si>
    <t>EMPAQUE DIVISIÓN OFICINA</t>
  </si>
  <si>
    <t>EMPAQUE EN U PUERTA ZÓCALO 10MM</t>
  </si>
  <si>
    <t>EMPAQUE MULTISISTEMAS PACKLINE</t>
  </si>
  <si>
    <t>EMPAQUE MULTIUSO 5020, 744, 8025</t>
  </si>
  <si>
    <t>EMPAQUE PARA VIDRIO 4-5MM</t>
  </si>
  <si>
    <t>EMPAQUE PUERTA ZÓCALO 8MM</t>
  </si>
  <si>
    <t>EMPAQUE SISTEMAS Y CABINAS BAÑO PARA VIDRIO 4 Y 5MM</t>
  </si>
  <si>
    <t>EMPAQUE T03, T83, S328, T77</t>
  </si>
  <si>
    <t>EMPAQUE U SISTEMA 8025 6MM</t>
  </si>
  <si>
    <t>EMPAQUE VENACUÑA 3831 PACKLINE</t>
  </si>
  <si>
    <t>EMPAQUE VIDRIO FIJO 4MM</t>
  </si>
  <si>
    <t>FELPA PARA SISTEMA MONUMENTAL</t>
  </si>
  <si>
    <t>FELPA PARA SISTEMAS</t>
  </si>
  <si>
    <t>ROLLO ANGEO</t>
  </si>
  <si>
    <t>FELPA</t>
  </si>
  <si>
    <t>CIERRE MULTISISTEMAS 3825 NEGRO</t>
  </si>
  <si>
    <t>CANAL EN U 78 MARCO DE PUERTA</t>
  </si>
  <si>
    <t xml:space="preserve">CHAPETAS </t>
  </si>
  <si>
    <t xml:space="preserve">PUERTA EN PERCIANA DE ALUMINIO </t>
  </si>
  <si>
    <t>variacion ventana</t>
  </si>
  <si>
    <t>variacion puerta</t>
  </si>
  <si>
    <t xml:space="preserve">HOJA DE COSTO </t>
  </si>
  <si>
    <t>TIPO DE CIF</t>
  </si>
  <si>
    <t>NUMERO DE LAMPARAS</t>
  </si>
  <si>
    <t>Servicio públicos área admón. y ventas</t>
  </si>
  <si>
    <t>numero de lamparas</t>
  </si>
  <si>
    <t>fijo</t>
  </si>
  <si>
    <t>variable</t>
  </si>
  <si>
    <t>no aplica</t>
  </si>
  <si>
    <t xml:space="preserve">no aplica </t>
  </si>
  <si>
    <t>fija</t>
  </si>
  <si>
    <t xml:space="preserve">  Variable</t>
  </si>
  <si>
    <t>costo primo</t>
  </si>
  <si>
    <t>Base de  Asignación</t>
  </si>
  <si>
    <t>PUERTA EN PERCIANA DE ALUMINIO un metro x 2,10</t>
  </si>
  <si>
    <t>ventana en aluminio mxm con dos rodamientos un metro por un metro</t>
  </si>
  <si>
    <t>CANT.HMOD</t>
  </si>
  <si>
    <t>VIDRIO CRUDO MT2</t>
  </si>
  <si>
    <t>VIDRIO TEMPLADO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</si>
</sst>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4" formatCode="_-* #,##0.00\ &quot;€&quot;_-;\-* #,##0.00\ &quot;€&quot;_-;_-* &quot;-&quot;??\ &quot;€&quot;_-;_-@_-"/>
    <numFmt numFmtId="43" formatCode="_-* #,##0.00\ _€_-;\-* #,##0.00\ _€_-;_-* &quot;-&quot;??\ _€_-;_-@_-"/>
    <numFmt numFmtId="164" formatCode="&quot;$&quot;\ #,##0_);[Red]\(&quot;$&quot;\ #,##0\)"/>
    <numFmt numFmtId="165" formatCode="_(&quot;$&quot;\ * #,##0.00_);_(&quot;$&quot;\ * \(#,##0.00\);_(&quot;$&quot;\ * &quot;-&quot;??_);_(@_)"/>
    <numFmt numFmtId="166" formatCode="_(* #,##0.00_);_(* \(#,##0.00\);_(* &quot;-&quot;??_);_(@_)"/>
    <numFmt numFmtId="167" formatCode="&quot; &quot;#,##0.00&quot; &quot;;&quot; (&quot;#,##0.00&quot;)&quot;;&quot; -&quot;00&quot; &quot;;&quot; &quot;@&quot; &quot;"/>
    <numFmt numFmtId="168" formatCode="0.00000"/>
    <numFmt numFmtId="169" formatCode="0.000"/>
    <numFmt numFmtId="170" formatCode="0.0000"/>
    <numFmt numFmtId="171" formatCode="&quot; &quot;[$$-240A]&quot; &quot;#,##0.00&quot; &quot;;&quot; &quot;[$$-240A]&quot; -&quot;#,##0.00&quot; &quot;;&quot; &quot;[$$-240A]&quot; -&quot;00&quot; &quot;;&quot; &quot;@&quot; &quot;"/>
    <numFmt numFmtId="172" formatCode="[$$-240A]&quot; &quot;#,##0"/>
    <numFmt numFmtId="173" formatCode="&quot; $ &quot;#,##0.00&quot; &quot;;&quot; $ (&quot;#,##0.00&quot;)&quot;;&quot; $ -&quot;00&quot; &quot;;&quot; &quot;@&quot; &quot;"/>
    <numFmt numFmtId="174" formatCode="&quot;$ &quot;#,##0&quot; &quot;;[Red]&quot;($ &quot;#,##0&quot;)&quot;"/>
    <numFmt numFmtId="175" formatCode="#,##0.000"/>
    <numFmt numFmtId="176" formatCode="_-[$$-240A]\ * #,##0.00_ ;_-[$$-240A]\ * \-#,##0.00\ ;_-[$$-240A]\ * &quot;-&quot;??_ ;_-@_ "/>
    <numFmt numFmtId="177" formatCode="_-[$$-240A]\ * #,##0_ ;_-[$$-240A]\ * \-#,##0\ ;_-[$$-240A]\ * &quot;-&quot;??_ ;_-@_ "/>
    <numFmt numFmtId="178" formatCode="_(&quot;$&quot;\ * #,##0_);_(&quot;$&quot;\ * \(#,##0\);_(&quot;$&quot;\ * &quot;-&quot;??_);_(@_)"/>
    <numFmt numFmtId="179" formatCode="[$-240A]d&quot; de &quot;mmmm&quot; de &quot;yyyy;@"/>
    <numFmt numFmtId="180" formatCode="_([$$-240A]\ * #,##0.00_);_([$$-240A]\ * \(#,##0.00\);_([$$-240A]\ * &quot;-&quot;??_);_(@_)"/>
    <numFmt numFmtId="181" formatCode="&quot; &quot;[$$-2C0A]&quot; &quot;#,##0.00&quot; &quot;;&quot; &quot;[$$-2C0A]&quot; -&quot;#,##0.00&quot; &quot;;&quot; &quot;[$$-2C0A]&quot; -&quot;00&quot; &quot;;&quot; &quot;@&quot; &quot;"/>
    <numFmt numFmtId="182" formatCode="&quot; &quot;#,##0.00&quot;   &quot;;&quot;-&quot;#,##0.00&quot;   &quot;;&quot; -&quot;00&quot;   &quot;;&quot; &quot;@&quot; &quot;"/>
  </numFmts>
  <fonts count="74"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8"/>
      <color rgb="FF000000"/>
      <name val="Calibri"/>
      <family val="2"/>
    </font>
    <font>
      <sz val="12"/>
      <color rgb="FF000000"/>
      <name val="Calibri"/>
      <family val="2"/>
    </font>
    <font>
      <sz val="16"/>
      <color rgb="FF000000"/>
      <name val="Calibri"/>
      <family val="2"/>
    </font>
    <font>
      <b/>
      <sz val="9"/>
      <color rgb="FF000000"/>
      <name val="Calibri"/>
      <family val="2"/>
    </font>
    <font>
      <sz val="11"/>
      <color rgb="FF000000"/>
      <name val="Arial"/>
      <family val="2"/>
    </font>
    <font>
      <b/>
      <sz val="11"/>
      <color rgb="FF000000"/>
      <name val="Calibri"/>
      <family val="2"/>
    </font>
    <font>
      <b/>
      <sz val="14"/>
      <color rgb="FF000000"/>
      <name val="Calibri"/>
      <family val="2"/>
    </font>
    <font>
      <b/>
      <sz val="12"/>
      <color rgb="FF000000"/>
      <name val="Calibri"/>
      <family val="2"/>
    </font>
    <font>
      <i/>
      <sz val="11"/>
      <color rgb="FF000000"/>
      <name val="Calibri"/>
      <family val="2"/>
    </font>
    <font>
      <sz val="14"/>
      <color rgb="FF000000"/>
      <name val="Calibri"/>
      <family val="2"/>
    </font>
    <font>
      <b/>
      <sz val="14"/>
      <color rgb="FF000000"/>
      <name val="Arial"/>
      <family val="2"/>
    </font>
    <font>
      <sz val="12"/>
      <color rgb="FF000000"/>
      <name val="Arial"/>
      <family val="2"/>
    </font>
    <font>
      <b/>
      <sz val="10"/>
      <color rgb="FF000000"/>
      <name val="Arial"/>
      <family val="2"/>
    </font>
    <font>
      <sz val="10"/>
      <color rgb="FF000000"/>
      <name val="Arial"/>
      <family val="2"/>
    </font>
    <font>
      <sz val="9"/>
      <color indexed="81"/>
      <name val="Tahoma"/>
      <charset val="1"/>
    </font>
    <font>
      <b/>
      <sz val="9"/>
      <color indexed="81"/>
      <name val="Tahoma"/>
      <charset val="1"/>
    </font>
    <font>
      <sz val="11"/>
      <color rgb="FFFF0000"/>
      <name val="Calibri"/>
      <family val="2"/>
    </font>
    <font>
      <b/>
      <sz val="11"/>
      <color rgb="FF000000"/>
      <name val="Arial"/>
      <family val="2"/>
    </font>
    <font>
      <b/>
      <sz val="11"/>
      <color theme="1"/>
      <name val="Calibri"/>
      <family val="2"/>
      <scheme val="minor"/>
    </font>
    <font>
      <sz val="11"/>
      <color theme="1"/>
      <name val="Calibri"/>
      <family val="2"/>
    </font>
    <font>
      <b/>
      <sz val="10"/>
      <color theme="1"/>
      <name val="Calibri"/>
      <family val="2"/>
      <scheme val="minor"/>
    </font>
    <font>
      <sz val="10"/>
      <color theme="1"/>
      <name val="Calibri"/>
      <family val="2"/>
      <scheme val="minor"/>
    </font>
    <font>
      <sz val="8"/>
      <name val="Calibri"/>
      <family val="2"/>
      <scheme val="minor"/>
    </font>
    <font>
      <sz val="10"/>
      <color theme="1"/>
      <name val="Arial"/>
      <family val="2"/>
    </font>
    <font>
      <b/>
      <sz val="10"/>
      <color theme="1"/>
      <name val="Arial"/>
      <family val="2"/>
    </font>
    <font>
      <b/>
      <sz val="11"/>
      <color rgb="FFFF0000"/>
      <name val="Calibri"/>
      <family val="2"/>
      <scheme val="minor"/>
    </font>
    <font>
      <b/>
      <sz val="9"/>
      <color theme="1"/>
      <name val="Times New Roman"/>
      <family val="1"/>
    </font>
    <font>
      <sz val="9"/>
      <color theme="1"/>
      <name val="Times New Roman"/>
      <family val="1"/>
    </font>
    <font>
      <sz val="9"/>
      <name val="Times New Roman"/>
      <family val="1"/>
    </font>
    <font>
      <b/>
      <sz val="9"/>
      <name val="Times New Roman"/>
      <family val="1"/>
    </font>
    <font>
      <sz val="11"/>
      <name val="Calibri"/>
      <family val="2"/>
    </font>
    <font>
      <sz val="11"/>
      <name val="Calibri"/>
      <family val="2"/>
      <scheme val="minor"/>
    </font>
    <font>
      <b/>
      <sz val="11"/>
      <name val="Calibri"/>
      <family val="2"/>
    </font>
    <font>
      <b/>
      <sz val="8"/>
      <name val="Calibri"/>
      <family val="2"/>
      <scheme val="minor"/>
    </font>
    <font>
      <sz val="11"/>
      <color rgb="FFFFFFFF"/>
      <name val="Calibri"/>
      <family val="2"/>
    </font>
    <font>
      <u/>
      <sz val="11"/>
      <color theme="10"/>
      <name val="Calibri"/>
      <family val="2"/>
    </font>
    <font>
      <b/>
      <sz val="10"/>
      <color rgb="FF000000"/>
      <name val="Times New Roman"/>
      <family val="1"/>
    </font>
    <font>
      <sz val="10"/>
      <color rgb="FF000000"/>
      <name val="Times New Roman"/>
      <family val="1"/>
    </font>
    <font>
      <b/>
      <sz val="8"/>
      <color rgb="FF000000"/>
      <name val="Times New Roman"/>
      <family val="1"/>
    </font>
    <font>
      <b/>
      <sz val="10"/>
      <color rgb="FFFF0000"/>
      <name val="Times New Roman"/>
      <family val="1"/>
    </font>
    <font>
      <b/>
      <sz val="10"/>
      <color theme="1"/>
      <name val="Times New Roman"/>
      <family val="1"/>
    </font>
    <font>
      <b/>
      <sz val="12"/>
      <name val="Copperplate Gothic Bold"/>
      <family val="2"/>
    </font>
    <font>
      <sz val="8"/>
      <name val="Arial"/>
      <family val="2"/>
    </font>
    <font>
      <sz val="10"/>
      <name val="Copperplate Gothic Light"/>
      <family val="2"/>
    </font>
    <font>
      <u/>
      <sz val="10"/>
      <color indexed="12"/>
      <name val="Arial"/>
      <family val="2"/>
    </font>
    <font>
      <u/>
      <sz val="10"/>
      <color indexed="12"/>
      <name val="Copperplate Gothic Bold"/>
      <family val="2"/>
    </font>
    <font>
      <sz val="11"/>
      <color rgb="FF000000"/>
      <name val="Copperplate Gothic Bold"/>
      <family val="2"/>
    </font>
    <font>
      <b/>
      <sz val="12"/>
      <color rgb="FF000000"/>
      <name val="Copperplate Gothic Bold"/>
      <family val="2"/>
    </font>
    <font>
      <sz val="8"/>
      <color rgb="FF000000"/>
      <name val="Arial"/>
      <family val="2"/>
    </font>
    <font>
      <b/>
      <sz val="8"/>
      <color rgb="FF000000"/>
      <name val="Copperplate Gothic Bold"/>
      <family val="2"/>
    </font>
    <font>
      <sz val="10"/>
      <color rgb="FF000000"/>
      <name val="Copperplate Gothic Light"/>
      <family val="2"/>
    </font>
    <font>
      <u/>
      <sz val="10"/>
      <color rgb="FF0000FF"/>
      <name val="Arial"/>
      <family val="2"/>
    </font>
    <font>
      <u/>
      <sz val="10"/>
      <color rgb="FF0000FF"/>
      <name val="Copperplate Gothic Bold"/>
      <family val="2"/>
    </font>
    <font>
      <sz val="8"/>
      <color rgb="FF000000"/>
      <name val="Copperplate Gothic Light"/>
      <family val="2"/>
    </font>
    <font>
      <b/>
      <sz val="12"/>
      <color rgb="FF000000"/>
      <name val="Times New Roman"/>
      <family val="1"/>
    </font>
    <font>
      <b/>
      <sz val="11"/>
      <color theme="0"/>
      <name val="Calibri"/>
      <family val="2"/>
      <scheme val="minor"/>
    </font>
    <font>
      <sz val="11"/>
      <color theme="0"/>
      <name val="Calibri"/>
      <family val="2"/>
      <scheme val="minor"/>
    </font>
    <font>
      <b/>
      <sz val="8"/>
      <color theme="1"/>
      <name val="Copperplate Gothic Bold"/>
      <family val="2"/>
    </font>
    <font>
      <b/>
      <sz val="8"/>
      <color rgb="FFFF0000"/>
      <name val="Copperplate Gothic Bold"/>
      <family val="2"/>
    </font>
    <font>
      <b/>
      <sz val="10"/>
      <color rgb="FF000000"/>
      <name val="Copperplate Gothic Bold"/>
      <family val="2"/>
    </font>
    <font>
      <sz val="10"/>
      <color theme="0"/>
      <name val="Calibri"/>
      <family val="2"/>
      <scheme val="minor"/>
    </font>
    <font>
      <sz val="12"/>
      <color rgb="FF000000"/>
      <name val="Times New Roman"/>
      <family val="1"/>
    </font>
    <font>
      <sz val="11"/>
      <color rgb="FF000000"/>
      <name val="Calibri"/>
    </font>
    <font>
      <sz val="11"/>
      <color theme="1"/>
      <name val="Calibri"/>
      <scheme val="minor"/>
    </font>
  </fonts>
  <fills count="36">
    <fill>
      <patternFill patternType="none"/>
    </fill>
    <fill>
      <patternFill patternType="gray125"/>
    </fill>
    <fill>
      <patternFill patternType="solid">
        <fgColor rgb="FF92CDDC"/>
        <bgColor rgb="FF92CDDC"/>
      </patternFill>
    </fill>
    <fill>
      <patternFill patternType="solid">
        <fgColor rgb="FFFFFFFF"/>
        <bgColor rgb="FFFFFFFF"/>
      </patternFill>
    </fill>
    <fill>
      <patternFill patternType="solid">
        <fgColor rgb="FF00B0F0"/>
        <bgColor rgb="FF00B0F0"/>
      </patternFill>
    </fill>
    <fill>
      <patternFill patternType="solid">
        <fgColor rgb="FFB7DEE8"/>
        <bgColor rgb="FFB7DEE8"/>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rgb="FF0070C0"/>
        <bgColor indexed="64"/>
      </patternFill>
    </fill>
    <fill>
      <patternFill patternType="solid">
        <fgColor theme="8" tint="0.39997558519241921"/>
        <bgColor indexed="64"/>
      </patternFill>
    </fill>
    <fill>
      <patternFill patternType="solid">
        <fgColor rgb="FF00B0F0"/>
        <bgColor indexed="64"/>
      </patternFill>
    </fill>
    <fill>
      <patternFill patternType="solid">
        <fgColor theme="1" tint="0.34998626667073579"/>
        <bgColor indexed="64"/>
      </patternFill>
    </fill>
    <fill>
      <patternFill patternType="solid">
        <fgColor theme="1" tint="0.249977111117893"/>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0000"/>
        <bgColor rgb="FFFF0000"/>
      </patternFill>
    </fill>
    <fill>
      <patternFill patternType="solid">
        <fgColor rgb="FFF2DCDB"/>
        <bgColor rgb="FFF2DCDB"/>
      </patternFill>
    </fill>
    <fill>
      <patternFill patternType="solid">
        <fgColor theme="7"/>
      </patternFill>
    </fill>
    <fill>
      <patternFill patternType="solid">
        <fgColor theme="7" tint="0.79998168889431442"/>
        <bgColor indexed="65"/>
      </patternFill>
    </fill>
    <fill>
      <patternFill patternType="solid">
        <fgColor theme="7" tint="-0.249977111117893"/>
        <bgColor rgb="FFFFC000"/>
      </patternFill>
    </fill>
    <fill>
      <patternFill patternType="solid">
        <fgColor rgb="FF00B0F0"/>
        <bgColor rgb="FF8DB4E2"/>
      </patternFill>
    </fill>
    <fill>
      <patternFill patternType="solid">
        <fgColor rgb="FF00B050"/>
        <bgColor rgb="FFE4DFEC"/>
      </patternFill>
    </fill>
    <fill>
      <patternFill patternType="solid">
        <fgColor rgb="FF00B050"/>
        <bgColor rgb="FFF2DCDB"/>
      </patternFill>
    </fill>
    <fill>
      <patternFill patternType="solid">
        <fgColor rgb="FFFF66CC"/>
        <bgColor rgb="FFD8E4BC"/>
      </patternFill>
    </fill>
    <fill>
      <patternFill patternType="solid">
        <fgColor rgb="FFFF66CC"/>
        <bgColor rgb="FFF2DCDB"/>
      </patternFill>
    </fill>
    <fill>
      <patternFill patternType="solid">
        <fgColor rgb="FFFFFF00"/>
        <bgColor rgb="FFFCD5B4"/>
      </patternFill>
    </fill>
    <fill>
      <patternFill patternType="solid">
        <fgColor rgb="FFFFFF00"/>
        <bgColor rgb="FFF2DCDB"/>
      </patternFill>
    </fill>
    <fill>
      <patternFill patternType="solid">
        <fgColor rgb="FFE4DFEC"/>
        <bgColor indexed="64"/>
      </patternFill>
    </fill>
    <fill>
      <patternFill patternType="solid">
        <fgColor theme="0" tint="-0.14999847407452621"/>
        <bgColor indexed="64"/>
      </patternFill>
    </fill>
  </fills>
  <borders count="97">
    <border>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medium">
        <color rgb="FF000000"/>
      </right>
      <top/>
      <bottom style="thin">
        <color rgb="FF000000"/>
      </bottom>
      <diagonal/>
    </border>
    <border>
      <left/>
      <right style="medium">
        <color rgb="FF000000"/>
      </right>
      <top/>
      <bottom/>
      <diagonal/>
    </border>
    <border>
      <left style="medium">
        <color rgb="FF000000"/>
      </left>
      <right/>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thin">
        <color rgb="FF000000"/>
      </left>
      <right style="medium">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style="thin">
        <color rgb="FF000000"/>
      </top>
      <bottom style="medium">
        <color rgb="FF000000"/>
      </bottom>
      <diagonal/>
    </border>
    <border>
      <left/>
      <right/>
      <top style="medium">
        <color indexed="64"/>
      </top>
      <bottom style="medium">
        <color indexed="64"/>
      </bottom>
      <diagonal/>
    </border>
    <border>
      <left style="medium">
        <color indexed="64"/>
      </left>
      <right/>
      <top/>
      <bottom style="medium">
        <color indexed="64"/>
      </bottom>
      <diagonal/>
    </border>
    <border>
      <left style="thin">
        <color rgb="FF000000"/>
      </left>
      <right style="thin">
        <color rgb="FF000000"/>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indexed="64"/>
      </left>
      <right style="thin">
        <color indexed="64"/>
      </right>
      <top/>
      <bottom style="thin">
        <color indexed="64"/>
      </bottom>
      <diagonal/>
    </border>
    <border>
      <left style="thin">
        <color rgb="FF000000"/>
      </left>
      <right style="medium">
        <color rgb="FF000000"/>
      </right>
      <top/>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top style="medium">
        <color rgb="FF000000"/>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rgb="FF000000"/>
      </left>
      <right style="medium">
        <color rgb="FF000000"/>
      </right>
      <top style="medium">
        <color rgb="FF000000"/>
      </top>
      <bottom/>
      <diagonal/>
    </border>
    <border>
      <left style="medium">
        <color rgb="FF000000"/>
      </left>
      <right style="thin">
        <color rgb="FF000000"/>
      </right>
      <top/>
      <bottom/>
      <diagonal/>
    </border>
    <border>
      <left style="thin">
        <color indexed="64"/>
      </left>
      <right style="medium">
        <color indexed="64"/>
      </right>
      <top style="thin">
        <color indexed="64"/>
      </top>
      <bottom/>
      <diagonal/>
    </border>
    <border>
      <left style="thin">
        <color rgb="FF000000"/>
      </left>
      <right/>
      <top style="thin">
        <color rgb="FF000000"/>
      </top>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rgb="FFB1A0C7"/>
      </bottom>
      <diagonal/>
    </border>
    <border>
      <left style="thin">
        <color rgb="FF000000"/>
      </left>
      <right style="thin">
        <color rgb="FF000000"/>
      </right>
      <top style="medium">
        <color indexed="64"/>
      </top>
      <bottom/>
      <diagonal/>
    </border>
  </borders>
  <cellStyleXfs count="19">
    <xf numFmtId="0" fontId="0" fillId="0" borderId="0"/>
    <xf numFmtId="167" fontId="9" fillId="0" borderId="0" applyFont="0" applyFill="0" applyBorder="0" applyAlignment="0" applyProtection="0"/>
    <xf numFmtId="173" fontId="9" fillId="0" borderId="0" applyFont="0" applyFill="0" applyBorder="0" applyAlignment="0" applyProtection="0"/>
    <xf numFmtId="0" fontId="9" fillId="0" borderId="0" applyNumberFormat="0" applyFont="0" applyBorder="0" applyProtection="0"/>
    <xf numFmtId="44" fontId="9" fillId="0" borderId="0" applyFont="0" applyFill="0" applyBorder="0" applyAlignment="0" applyProtection="0"/>
    <xf numFmtId="0" fontId="8" fillId="0" borderId="0"/>
    <xf numFmtId="43" fontId="8" fillId="0" borderId="0" applyFont="0" applyFill="0" applyBorder="0" applyAlignment="0" applyProtection="0"/>
    <xf numFmtId="165" fontId="8" fillId="0" borderId="0" applyFont="0" applyFill="0" applyBorder="0" applyAlignment="0" applyProtection="0"/>
    <xf numFmtId="166" fontId="8" fillId="0" borderId="0" applyFont="0" applyFill="0" applyBorder="0" applyAlignment="0" applyProtection="0"/>
    <xf numFmtId="43" fontId="9" fillId="0" borderId="0" applyFont="0" applyFill="0" applyBorder="0" applyAlignment="0" applyProtection="0"/>
    <xf numFmtId="0" fontId="45" fillId="0" borderId="0" applyNumberFormat="0" applyFill="0" applyBorder="0" applyAlignment="0" applyProtection="0"/>
    <xf numFmtId="0" fontId="4" fillId="0" borderId="0"/>
    <xf numFmtId="43"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0" fontId="54" fillId="0" borderId="0" applyNumberFormat="0" applyFill="0" applyBorder="0" applyAlignment="0" applyProtection="0">
      <alignment vertical="top"/>
      <protection locked="0"/>
    </xf>
    <xf numFmtId="0" fontId="61" fillId="0" borderId="0" applyNumberFormat="0" applyFill="0" applyBorder="0" applyAlignment="0" applyProtection="0"/>
    <xf numFmtId="0" fontId="66" fillId="24" borderId="0" applyNumberFormat="0" applyBorder="0" applyAlignment="0" applyProtection="0"/>
    <xf numFmtId="0" fontId="3" fillId="25" borderId="0" applyNumberFormat="0" applyBorder="0" applyAlignment="0" applyProtection="0"/>
  </cellStyleXfs>
  <cellXfs count="717">
    <xf numFmtId="0" fontId="0" fillId="0" borderId="0" xfId="0"/>
    <xf numFmtId="0" fontId="10" fillId="0" borderId="0" xfId="0" applyFont="1" applyAlignment="1">
      <alignment vertical="center"/>
    </xf>
    <xf numFmtId="0" fontId="11" fillId="0" borderId="0" xfId="0" applyFont="1" applyAlignment="1">
      <alignment horizontal="center" vertical="center" wrapText="1"/>
    </xf>
    <xf numFmtId="0" fontId="12" fillId="0" borderId="0" xfId="0" applyFont="1" applyAlignment="1">
      <alignment horizontal="center" wrapText="1"/>
    </xf>
    <xf numFmtId="1" fontId="0" fillId="0" borderId="0" xfId="0" applyNumberFormat="1" applyAlignment="1">
      <alignment horizontal="center"/>
    </xf>
    <xf numFmtId="0" fontId="0" fillId="0" borderId="0" xfId="0" applyAlignment="1">
      <alignment horizontal="center"/>
    </xf>
    <xf numFmtId="172" fontId="0" fillId="0" borderId="0" xfId="0" applyNumberFormat="1" applyAlignment="1">
      <alignment horizontal="center"/>
    </xf>
    <xf numFmtId="172" fontId="0" fillId="0" borderId="0" xfId="0" applyNumberFormat="1"/>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0" fillId="0" borderId="6" xfId="0" applyBorder="1" applyAlignment="1">
      <alignment horizontal="center" vertical="center" wrapText="1"/>
    </xf>
    <xf numFmtId="169" fontId="0" fillId="0" borderId="7" xfId="0" applyNumberFormat="1" applyBorder="1" applyAlignment="1">
      <alignment horizontal="center" vertical="center"/>
    </xf>
    <xf numFmtId="0" fontId="14" fillId="0" borderId="8" xfId="0" applyFont="1" applyBorder="1" applyAlignment="1">
      <alignment vertical="center" wrapText="1"/>
    </xf>
    <xf numFmtId="169" fontId="0" fillId="0" borderId="8" xfId="0" applyNumberFormat="1" applyBorder="1" applyAlignment="1">
      <alignment horizontal="center" vertical="center"/>
    </xf>
    <xf numFmtId="0" fontId="14" fillId="0" borderId="8" xfId="0" applyFont="1" applyBorder="1" applyAlignment="1">
      <alignment horizontal="left" vertical="top" wrapText="1"/>
    </xf>
    <xf numFmtId="169" fontId="0" fillId="0" borderId="0" xfId="0" applyNumberFormat="1"/>
    <xf numFmtId="168" fontId="0" fillId="0" borderId="0" xfId="0" applyNumberFormat="1"/>
    <xf numFmtId="169" fontId="0" fillId="0" borderId="0" xfId="0" applyNumberFormat="1" applyFill="1" applyAlignment="1">
      <alignment horizontal="center" vertical="center" wrapText="1"/>
    </xf>
    <xf numFmtId="0" fontId="15" fillId="0" borderId="15" xfId="0" applyFont="1" applyBorder="1" applyAlignment="1">
      <alignment vertical="center"/>
    </xf>
    <xf numFmtId="170" fontId="0" fillId="0" borderId="0" xfId="0" applyNumberFormat="1"/>
    <xf numFmtId="0" fontId="0" fillId="0" borderId="5" xfId="0" applyBorder="1"/>
    <xf numFmtId="0" fontId="0" fillId="0" borderId="16" xfId="0" applyBorder="1" applyAlignment="1">
      <alignment horizontal="center"/>
    </xf>
    <xf numFmtId="0" fontId="0" fillId="0" borderId="10" xfId="0" applyBorder="1"/>
    <xf numFmtId="0" fontId="0" fillId="0" borderId="9" xfId="0" applyBorder="1" applyAlignment="1">
      <alignment horizontal="center"/>
    </xf>
    <xf numFmtId="0" fontId="0" fillId="0" borderId="10" xfId="0" applyFill="1" applyBorder="1"/>
    <xf numFmtId="17" fontId="0" fillId="0" borderId="0" xfId="0" applyNumberFormat="1"/>
    <xf numFmtId="0" fontId="0" fillId="0" borderId="15" xfId="0" applyBorder="1"/>
    <xf numFmtId="169" fontId="0" fillId="0" borderId="17" xfId="0" applyNumberFormat="1" applyBorder="1" applyAlignment="1">
      <alignment horizontal="center" vertical="center"/>
    </xf>
    <xf numFmtId="0" fontId="15" fillId="0" borderId="18" xfId="0" applyFont="1" applyBorder="1" applyAlignment="1">
      <alignment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9" xfId="0" applyBorder="1"/>
    <xf numFmtId="0" fontId="0" fillId="0" borderId="17" xfId="0" applyBorder="1" applyAlignment="1">
      <alignment horizontal="center" vertical="center"/>
    </xf>
    <xf numFmtId="0" fontId="15" fillId="0" borderId="14" xfId="0" applyFont="1" applyBorder="1" applyAlignment="1">
      <alignment vertical="center"/>
    </xf>
    <xf numFmtId="0" fontId="0" fillId="0" borderId="20" xfId="0" applyBorder="1" applyAlignment="1">
      <alignment horizontal="center" vertical="center"/>
    </xf>
    <xf numFmtId="0" fontId="0" fillId="0" borderId="15" xfId="0" applyBorder="1" applyAlignment="1">
      <alignment vertical="center"/>
    </xf>
    <xf numFmtId="0" fontId="0" fillId="0" borderId="7" xfId="0" applyBorder="1" applyAlignment="1">
      <alignment vertical="center"/>
    </xf>
    <xf numFmtId="0" fontId="0" fillId="0" borderId="0" xfId="0" applyAlignment="1">
      <alignment horizontal="center"/>
    </xf>
    <xf numFmtId="2" fontId="0" fillId="0" borderId="9" xfId="0" applyNumberForma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xf>
    <xf numFmtId="167" fontId="15" fillId="0" borderId="8" xfId="1" applyFont="1" applyBorder="1" applyAlignment="1">
      <alignment horizontal="center"/>
    </xf>
    <xf numFmtId="167" fontId="0" fillId="0" borderId="0" xfId="1" applyFont="1"/>
    <xf numFmtId="167" fontId="0" fillId="0" borderId="8" xfId="1" applyFont="1" applyBorder="1"/>
    <xf numFmtId="171" fontId="0" fillId="0" borderId="8" xfId="1" applyNumberFormat="1" applyFont="1" applyBorder="1"/>
    <xf numFmtId="167" fontId="15" fillId="0" borderId="8" xfId="1" applyFont="1" applyBorder="1"/>
    <xf numFmtId="167" fontId="0" fillId="0" borderId="21" xfId="1" applyFont="1" applyBorder="1"/>
    <xf numFmtId="167" fontId="15" fillId="0" borderId="21" xfId="1" applyFont="1" applyBorder="1"/>
    <xf numFmtId="167" fontId="18" fillId="0" borderId="8" xfId="1" applyFont="1" applyBorder="1"/>
    <xf numFmtId="167" fontId="0" fillId="0" borderId="0" xfId="1" applyFont="1" applyFill="1"/>
    <xf numFmtId="173" fontId="0" fillId="0" borderId="0" xfId="2" applyFont="1"/>
    <xf numFmtId="167" fontId="0" fillId="0" borderId="2" xfId="1" applyFont="1" applyBorder="1"/>
    <xf numFmtId="167" fontId="0" fillId="0" borderId="3" xfId="1" applyFont="1" applyBorder="1"/>
    <xf numFmtId="167" fontId="0" fillId="0" borderId="22" xfId="1" applyFont="1" applyBorder="1"/>
    <xf numFmtId="167" fontId="0" fillId="0" borderId="4" xfId="1" applyFont="1" applyBorder="1"/>
    <xf numFmtId="167" fontId="15" fillId="0" borderId="2" xfId="1" applyFont="1" applyBorder="1" applyAlignment="1">
      <alignment horizontal="center" vertical="center" wrapText="1"/>
    </xf>
    <xf numFmtId="167" fontId="15" fillId="0" borderId="3" xfId="1" applyFont="1" applyBorder="1" applyAlignment="1">
      <alignment horizontal="center" vertical="center" wrapText="1"/>
    </xf>
    <xf numFmtId="167" fontId="15" fillId="0" borderId="4" xfId="1" applyFont="1" applyBorder="1" applyAlignment="1">
      <alignment horizontal="center" vertical="center" wrapText="1"/>
    </xf>
    <xf numFmtId="167" fontId="0" fillId="0" borderId="23" xfId="1" applyFont="1" applyBorder="1"/>
    <xf numFmtId="167" fontId="0" fillId="0" borderId="24" xfId="1" applyFont="1" applyBorder="1"/>
    <xf numFmtId="167" fontId="0" fillId="0" borderId="25" xfId="1" applyFont="1" applyBorder="1"/>
    <xf numFmtId="167" fontId="0" fillId="0" borderId="10" xfId="1" applyFont="1" applyBorder="1"/>
    <xf numFmtId="167" fontId="0" fillId="0" borderId="9" xfId="1" applyFont="1" applyBorder="1"/>
    <xf numFmtId="174" fontId="0" fillId="0" borderId="8" xfId="1" applyNumberFormat="1" applyFont="1" applyBorder="1"/>
    <xf numFmtId="167" fontId="15" fillId="0" borderId="10" xfId="1" applyFont="1" applyBorder="1"/>
    <xf numFmtId="167" fontId="15" fillId="3" borderId="8" xfId="1" applyFont="1" applyFill="1" applyBorder="1"/>
    <xf numFmtId="167" fontId="15" fillId="0" borderId="9" xfId="1" applyFont="1" applyBorder="1"/>
    <xf numFmtId="167" fontId="0" fillId="3" borderId="8" xfId="1" applyFont="1" applyFill="1" applyBorder="1"/>
    <xf numFmtId="167" fontId="15" fillId="0" borderId="11" xfId="1" applyFont="1" applyBorder="1"/>
    <xf numFmtId="167" fontId="15" fillId="0" borderId="12" xfId="1" applyFont="1" applyBorder="1"/>
    <xf numFmtId="167" fontId="15" fillId="3" borderId="12" xfId="1" applyFont="1" applyFill="1" applyBorder="1"/>
    <xf numFmtId="167" fontId="15" fillId="3" borderId="13" xfId="1" applyFont="1" applyFill="1" applyBorder="1"/>
    <xf numFmtId="0" fontId="0" fillId="0" borderId="0" xfId="3" applyFont="1" applyFill="1" applyAlignment="1"/>
    <xf numFmtId="0" fontId="15" fillId="4" borderId="8" xfId="3" applyFont="1" applyFill="1" applyBorder="1" applyAlignment="1"/>
    <xf numFmtId="0" fontId="0" fillId="5" borderId="8" xfId="3" applyFont="1" applyFill="1" applyBorder="1" applyAlignment="1"/>
    <xf numFmtId="0" fontId="0" fillId="2" borderId="8" xfId="3" applyFont="1" applyFill="1" applyBorder="1" applyAlignment="1"/>
    <xf numFmtId="167" fontId="0" fillId="2" borderId="8" xfId="3" applyNumberFormat="1" applyFont="1" applyFill="1" applyBorder="1" applyAlignment="1"/>
    <xf numFmtId="0" fontId="15" fillId="5" borderId="8" xfId="3" applyFont="1" applyFill="1" applyBorder="1" applyAlignment="1"/>
    <xf numFmtId="0" fontId="15" fillId="2" borderId="8" xfId="3" applyFont="1" applyFill="1" applyBorder="1" applyAlignment="1"/>
    <xf numFmtId="0" fontId="0" fillId="0" borderId="0" xfId="0" applyAlignment="1"/>
    <xf numFmtId="0" fontId="10" fillId="0" borderId="8" xfId="0" applyFont="1" applyBorder="1"/>
    <xf numFmtId="0" fontId="10" fillId="0" borderId="8" xfId="0" applyFont="1" applyBorder="1" applyAlignment="1">
      <alignment vertical="center"/>
    </xf>
    <xf numFmtId="0" fontId="0" fillId="0" borderId="0" xfId="0" applyAlignment="1">
      <alignment vertical="center"/>
    </xf>
    <xf numFmtId="0" fontId="19" fillId="0" borderId="8" xfId="0" applyFont="1" applyBorder="1" applyAlignment="1">
      <alignment horizontal="center" vertical="center" wrapText="1"/>
    </xf>
    <xf numFmtId="0" fontId="0" fillId="0" borderId="8" xfId="0" applyBorder="1"/>
    <xf numFmtId="0" fontId="14" fillId="0" borderId="27" xfId="0" applyFont="1" applyBorder="1" applyAlignment="1">
      <alignment vertical="center" wrapText="1"/>
    </xf>
    <xf numFmtId="0" fontId="14" fillId="0" borderId="26" xfId="0" applyFont="1" applyFill="1" applyBorder="1" applyAlignment="1">
      <alignment vertical="center"/>
    </xf>
    <xf numFmtId="0" fontId="14" fillId="0" borderId="28" xfId="0" applyFont="1" applyBorder="1" applyAlignment="1">
      <alignment vertical="center" wrapText="1"/>
    </xf>
    <xf numFmtId="0" fontId="14" fillId="0" borderId="26" xfId="0" applyFont="1" applyBorder="1" applyAlignment="1">
      <alignment vertical="center"/>
    </xf>
    <xf numFmtId="0" fontId="14" fillId="0" borderId="30" xfId="0" applyFont="1" applyFill="1" applyBorder="1" applyAlignment="1">
      <alignment vertical="center"/>
    </xf>
    <xf numFmtId="169" fontId="0" fillId="0" borderId="6" xfId="0" applyNumberFormat="1" applyBorder="1" applyAlignment="1">
      <alignment horizontal="center" vertical="center" wrapText="1"/>
    </xf>
    <xf numFmtId="0" fontId="14" fillId="0" borderId="21" xfId="0" applyFont="1" applyBorder="1" applyAlignment="1">
      <alignment vertical="top" wrapText="1"/>
    </xf>
    <xf numFmtId="0" fontId="0" fillId="0" borderId="21" xfId="0" applyBorder="1" applyAlignment="1">
      <alignment horizontal="center" vertical="center" wrapText="1"/>
    </xf>
    <xf numFmtId="0" fontId="0" fillId="0" borderId="26" xfId="0" applyBorder="1" applyAlignment="1">
      <alignment horizontal="center" vertical="center"/>
    </xf>
    <xf numFmtId="0" fontId="16" fillId="2" borderId="14" xfId="0" applyFont="1" applyFill="1" applyBorder="1" applyAlignment="1">
      <alignment horizontal="center" vertical="center"/>
    </xf>
    <xf numFmtId="0" fontId="0" fillId="0" borderId="0" xfId="0" applyAlignment="1">
      <alignment horizontal="center"/>
    </xf>
    <xf numFmtId="0" fontId="15" fillId="2" borderId="2" xfId="0" applyFont="1" applyFill="1" applyBorder="1" applyAlignment="1">
      <alignment horizontal="center" vertical="center"/>
    </xf>
    <xf numFmtId="0" fontId="0" fillId="0" borderId="35" xfId="0" applyBorder="1" applyAlignment="1">
      <alignment horizontal="center"/>
    </xf>
    <xf numFmtId="0" fontId="0" fillId="0" borderId="37" xfId="0" applyBorder="1"/>
    <xf numFmtId="0" fontId="0" fillId="0" borderId="36" xfId="0" applyBorder="1" applyAlignment="1">
      <alignment horizontal="center"/>
    </xf>
    <xf numFmtId="0" fontId="14" fillId="0" borderId="27" xfId="0" applyFont="1" applyBorder="1" applyAlignment="1">
      <alignment vertical="center"/>
    </xf>
    <xf numFmtId="0" fontId="14" fillId="0" borderId="31" xfId="0" applyFont="1" applyBorder="1" applyAlignment="1">
      <alignment vertical="top"/>
    </xf>
    <xf numFmtId="0" fontId="15" fillId="2" borderId="29" xfId="0" applyFont="1" applyFill="1" applyBorder="1" applyAlignment="1">
      <alignment horizontal="center" vertical="center"/>
    </xf>
    <xf numFmtId="0" fontId="0" fillId="0" borderId="26" xfId="0" applyBorder="1" applyAlignment="1">
      <alignment horizontal="center"/>
    </xf>
    <xf numFmtId="1" fontId="0" fillId="0" borderId="6" xfId="0" applyNumberFormat="1" applyBorder="1" applyAlignment="1">
      <alignment horizontal="center" vertical="center" wrapText="1"/>
    </xf>
    <xf numFmtId="0" fontId="0" fillId="0" borderId="30" xfId="0" applyBorder="1" applyAlignment="1">
      <alignment horizontal="center"/>
    </xf>
    <xf numFmtId="3" fontId="0" fillId="0" borderId="6" xfId="0" applyNumberFormat="1" applyBorder="1" applyAlignment="1">
      <alignment horizontal="center" vertical="center" wrapText="1"/>
    </xf>
    <xf numFmtId="0" fontId="0" fillId="0" borderId="40" xfId="0" applyBorder="1" applyAlignment="1">
      <alignment horizontal="center" vertical="center" wrapText="1"/>
    </xf>
    <xf numFmtId="2" fontId="0" fillId="0" borderId="35" xfId="0" applyNumberFormat="1" applyBorder="1" applyAlignment="1">
      <alignment horizontal="center" vertical="center"/>
    </xf>
    <xf numFmtId="1" fontId="0" fillId="0" borderId="0" xfId="0" applyNumberFormat="1" applyBorder="1" applyAlignment="1">
      <alignment horizontal="center" vertical="center" wrapText="1"/>
    </xf>
    <xf numFmtId="169" fontId="0" fillId="0" borderId="0" xfId="0" applyNumberFormat="1" applyBorder="1" applyAlignment="1">
      <alignment horizontal="center" vertical="center" wrapText="1"/>
    </xf>
    <xf numFmtId="168" fontId="0" fillId="0" borderId="0" xfId="0" applyNumberFormat="1" applyBorder="1" applyAlignment="1">
      <alignment horizontal="center" vertical="center"/>
    </xf>
    <xf numFmtId="0" fontId="0" fillId="0" borderId="0" xfId="0" applyBorder="1" applyAlignment="1">
      <alignment horizontal="center" vertical="center" wrapText="1"/>
    </xf>
    <xf numFmtId="2" fontId="0" fillId="0" borderId="26" xfId="0" applyNumberFormat="1" applyBorder="1" applyAlignment="1">
      <alignment horizontal="center" vertical="center"/>
    </xf>
    <xf numFmtId="0" fontId="22" fillId="0" borderId="42" xfId="0" applyFont="1" applyBorder="1" applyAlignment="1">
      <alignment horizontal="center" vertical="center" wrapText="1"/>
    </xf>
    <xf numFmtId="0" fontId="23" fillId="0" borderId="41" xfId="0" applyFont="1" applyBorder="1" applyAlignment="1">
      <alignment vertical="center" wrapText="1"/>
    </xf>
    <xf numFmtId="0" fontId="22"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15" fillId="0" borderId="36" xfId="0" applyFont="1" applyBorder="1" applyAlignment="1">
      <alignment horizontal="center" vertical="center"/>
    </xf>
    <xf numFmtId="0" fontId="0" fillId="0" borderId="0" xfId="0" applyAlignment="1">
      <alignment wrapText="1"/>
    </xf>
    <xf numFmtId="9" fontId="0" fillId="0" borderId="0" xfId="0" applyNumberFormat="1"/>
    <xf numFmtId="0" fontId="15" fillId="0" borderId="36" xfId="0" applyFont="1" applyBorder="1" applyAlignment="1">
      <alignment horizontal="center" vertical="center" wrapText="1"/>
    </xf>
    <xf numFmtId="0" fontId="0" fillId="0" borderId="0" xfId="0" applyAlignment="1">
      <alignment horizontal="center"/>
    </xf>
    <xf numFmtId="1" fontId="23" fillId="0" borderId="42" xfId="0" applyNumberFormat="1" applyFont="1" applyBorder="1" applyAlignment="1">
      <alignment horizontal="center" vertical="center" wrapText="1"/>
    </xf>
    <xf numFmtId="0" fontId="0" fillId="0" borderId="33" xfId="0" applyBorder="1" applyAlignment="1">
      <alignment horizontal="center"/>
    </xf>
    <xf numFmtId="169" fontId="0" fillId="0" borderId="36" xfId="0" applyNumberFormat="1" applyBorder="1" applyAlignment="1">
      <alignment horizontal="center" vertical="center"/>
    </xf>
    <xf numFmtId="1" fontId="0" fillId="0" borderId="40" xfId="0" applyNumberFormat="1" applyBorder="1" applyAlignment="1">
      <alignment horizontal="center" vertical="center" wrapText="1"/>
    </xf>
    <xf numFmtId="0" fontId="0" fillId="0" borderId="36" xfId="0" applyBorder="1" applyAlignment="1">
      <alignment horizontal="center" vertical="center"/>
    </xf>
    <xf numFmtId="169" fontId="0" fillId="0" borderId="21" xfId="0" applyNumberFormat="1" applyBorder="1" applyAlignment="1">
      <alignment horizontal="center" vertical="center"/>
    </xf>
    <xf numFmtId="168" fontId="0" fillId="0" borderId="38" xfId="0" applyNumberFormat="1" applyBorder="1" applyAlignment="1">
      <alignment horizontal="center" vertical="center"/>
    </xf>
    <xf numFmtId="1" fontId="0" fillId="0" borderId="38" xfId="0" applyNumberFormat="1" applyBorder="1" applyAlignment="1">
      <alignment horizontal="center" vertical="center" wrapText="1"/>
    </xf>
    <xf numFmtId="0" fontId="0" fillId="0" borderId="36" xfId="0" applyBorder="1" applyAlignment="1">
      <alignment horizontal="center" vertical="center" wrapText="1"/>
    </xf>
    <xf numFmtId="0" fontId="0" fillId="0" borderId="36" xfId="0" applyFill="1" applyBorder="1" applyAlignment="1">
      <alignment horizontal="center" wrapText="1"/>
    </xf>
    <xf numFmtId="9" fontId="0" fillId="0" borderId="36" xfId="0" applyNumberFormat="1" applyBorder="1" applyAlignment="1">
      <alignment horizontal="center"/>
    </xf>
    <xf numFmtId="2" fontId="0" fillId="0" borderId="41" xfId="0" applyNumberFormat="1" applyBorder="1" applyAlignment="1">
      <alignment horizontal="center"/>
    </xf>
    <xf numFmtId="0" fontId="15" fillId="0" borderId="0" xfId="0" applyFont="1" applyFill="1" applyBorder="1" applyAlignment="1">
      <alignment horizontal="center"/>
    </xf>
    <xf numFmtId="4" fontId="0" fillId="0" borderId="0" xfId="0" applyNumberFormat="1"/>
    <xf numFmtId="176" fontId="0" fillId="0" borderId="9" xfId="4" applyNumberFormat="1" applyFont="1" applyBorder="1" applyAlignment="1">
      <alignment horizontal="center" vertical="center"/>
    </xf>
    <xf numFmtId="176" fontId="0" fillId="0" borderId="33" xfId="4" applyNumberFormat="1" applyFont="1" applyBorder="1" applyAlignment="1">
      <alignment horizontal="center" vertical="center"/>
    </xf>
    <xf numFmtId="176" fontId="0" fillId="0" borderId="41" xfId="4" applyNumberFormat="1" applyFont="1" applyBorder="1" applyAlignment="1">
      <alignment horizontal="center"/>
    </xf>
    <xf numFmtId="177" fontId="0" fillId="0" borderId="8" xfId="0" applyNumberFormat="1" applyBorder="1" applyAlignment="1">
      <alignment horizontal="center" vertical="center" wrapText="1"/>
    </xf>
    <xf numFmtId="177" fontId="0" fillId="0" borderId="8" xfId="0" applyNumberFormat="1" applyBorder="1" applyAlignment="1">
      <alignment horizontal="center" vertical="center"/>
    </xf>
    <xf numFmtId="177" fontId="0" fillId="0" borderId="21" xfId="0" applyNumberFormat="1" applyBorder="1" applyAlignment="1">
      <alignment horizontal="center" vertical="center" wrapText="1"/>
    </xf>
    <xf numFmtId="177" fontId="0" fillId="0" borderId="32" xfId="0" applyNumberFormat="1" applyBorder="1" applyAlignment="1">
      <alignment horizontal="center" vertical="center"/>
    </xf>
    <xf numFmtId="4" fontId="0" fillId="0" borderId="6" xfId="0" applyNumberFormat="1" applyBorder="1" applyAlignment="1">
      <alignment horizontal="center" vertical="center" wrapText="1"/>
    </xf>
    <xf numFmtId="4" fontId="0" fillId="0" borderId="38" xfId="0" applyNumberFormat="1" applyBorder="1" applyAlignment="1">
      <alignment horizontal="center" vertical="center"/>
    </xf>
    <xf numFmtId="0" fontId="0" fillId="0" borderId="0" xfId="0" applyBorder="1"/>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9" fontId="0" fillId="0" borderId="33" xfId="0" applyNumberFormat="1" applyBorder="1" applyAlignment="1">
      <alignment horizontal="center"/>
    </xf>
    <xf numFmtId="0" fontId="0" fillId="0" borderId="26" xfId="0" applyBorder="1"/>
    <xf numFmtId="0" fontId="14" fillId="0" borderId="50" xfId="0" applyFont="1" applyBorder="1" applyAlignment="1">
      <alignment vertical="center" wrapText="1"/>
    </xf>
    <xf numFmtId="0" fontId="14" fillId="0" borderId="51" xfId="0" applyFont="1" applyBorder="1" applyAlignment="1">
      <alignment vertical="center" wrapText="1"/>
    </xf>
    <xf numFmtId="0" fontId="14" fillId="0" borderId="52" xfId="0" applyFont="1" applyBorder="1" applyAlignment="1">
      <alignment vertical="center" wrapText="1"/>
    </xf>
    <xf numFmtId="0" fontId="0" fillId="0" borderId="27" xfId="0" applyBorder="1" applyAlignment="1">
      <alignment horizontal="center" vertical="center" wrapText="1"/>
    </xf>
    <xf numFmtId="0" fontId="0" fillId="0" borderId="27" xfId="0" applyBorder="1" applyAlignment="1">
      <alignment horizontal="center" vertical="center"/>
    </xf>
    <xf numFmtId="1" fontId="0" fillId="0" borderId="26" xfId="0" applyNumberFormat="1" applyBorder="1" applyAlignment="1">
      <alignment horizontal="center" vertical="center" wrapText="1"/>
    </xf>
    <xf numFmtId="169" fontId="0" fillId="0" borderId="26" xfId="0" applyNumberFormat="1" applyBorder="1" applyAlignment="1">
      <alignment horizontal="center" vertical="center"/>
    </xf>
    <xf numFmtId="168" fontId="0" fillId="0" borderId="26" xfId="0" applyNumberFormat="1" applyBorder="1" applyAlignment="1">
      <alignment horizontal="center" vertical="center"/>
    </xf>
    <xf numFmtId="4" fontId="0" fillId="0" borderId="26" xfId="0" applyNumberFormat="1" applyBorder="1" applyAlignment="1">
      <alignment horizontal="center"/>
    </xf>
    <xf numFmtId="1" fontId="0" fillId="0" borderId="26" xfId="0" applyNumberFormat="1" applyBorder="1" applyAlignment="1">
      <alignment horizontal="center" vertical="center"/>
    </xf>
    <xf numFmtId="168" fontId="0" fillId="0" borderId="54" xfId="0" applyNumberFormat="1" applyBorder="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center" vertical="center"/>
    </xf>
    <xf numFmtId="0" fontId="27" fillId="0" borderId="36"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57" xfId="0" applyFont="1" applyBorder="1" applyAlignment="1">
      <alignment vertical="center" wrapText="1"/>
    </xf>
    <xf numFmtId="0" fontId="27" fillId="0" borderId="41" xfId="0" applyFont="1" applyBorder="1" applyAlignment="1">
      <alignment vertical="center" wrapText="1"/>
    </xf>
    <xf numFmtId="0" fontId="27" fillId="0" borderId="58" xfId="0" applyFont="1" applyBorder="1" applyAlignment="1">
      <alignment vertical="center" wrapText="1"/>
    </xf>
    <xf numFmtId="0" fontId="27" fillId="0" borderId="42" xfId="0" applyFont="1" applyBorder="1" applyAlignment="1">
      <alignment horizontal="center" vertical="center" wrapText="1"/>
    </xf>
    <xf numFmtId="0" fontId="27" fillId="0" borderId="42" xfId="0" applyFont="1" applyBorder="1" applyAlignment="1">
      <alignment vertical="center" wrapText="1"/>
    </xf>
    <xf numFmtId="0" fontId="27" fillId="0" borderId="58" xfId="0" applyFont="1" applyBorder="1" applyAlignment="1">
      <alignment horizontal="center" vertical="center" wrapText="1"/>
    </xf>
    <xf numFmtId="0" fontId="14" fillId="0" borderId="41" xfId="0" applyFont="1" applyBorder="1" applyAlignment="1">
      <alignment vertical="center" wrapText="1"/>
    </xf>
    <xf numFmtId="0" fontId="14" fillId="0" borderId="42" xfId="0" applyFont="1" applyBorder="1" applyAlignment="1">
      <alignment vertical="center" wrapText="1"/>
    </xf>
    <xf numFmtId="0" fontId="0" fillId="0" borderId="26" xfId="0" applyFill="1" applyBorder="1" applyAlignment="1">
      <alignment horizontal="center" wrapText="1"/>
    </xf>
    <xf numFmtId="0" fontId="0" fillId="0" borderId="26" xfId="0" applyBorder="1" applyAlignment="1">
      <alignment horizontal="center"/>
    </xf>
    <xf numFmtId="0" fontId="28" fillId="0" borderId="0" xfId="5" applyFont="1"/>
    <xf numFmtId="0" fontId="8" fillId="0" borderId="26" xfId="5" applyBorder="1"/>
    <xf numFmtId="0" fontId="8" fillId="0" borderId="0" xfId="5"/>
    <xf numFmtId="43" fontId="0" fillId="0" borderId="0" xfId="6" applyFont="1"/>
    <xf numFmtId="43" fontId="8" fillId="0" borderId="0" xfId="5" applyNumberFormat="1"/>
    <xf numFmtId="0" fontId="8" fillId="0" borderId="0" xfId="5" applyAlignment="1">
      <alignment horizontal="center"/>
    </xf>
    <xf numFmtId="0" fontId="8" fillId="8" borderId="26" xfId="5" applyFill="1" applyBorder="1"/>
    <xf numFmtId="178" fontId="0" fillId="0" borderId="0" xfId="7" applyNumberFormat="1" applyFont="1"/>
    <xf numFmtId="0" fontId="8" fillId="0" borderId="26" xfId="5" applyFill="1" applyBorder="1"/>
    <xf numFmtId="43" fontId="0" fillId="0" borderId="0" xfId="6" applyFont="1" applyAlignment="1"/>
    <xf numFmtId="0" fontId="8" fillId="0" borderId="0" xfId="5" applyBorder="1"/>
    <xf numFmtId="0" fontId="28" fillId="0" borderId="0" xfId="5" applyFont="1" applyBorder="1" applyAlignment="1">
      <alignment horizontal="center"/>
    </xf>
    <xf numFmtId="0" fontId="30" fillId="10" borderId="26" xfId="5" applyFont="1" applyFill="1" applyBorder="1"/>
    <xf numFmtId="0" fontId="31" fillId="10" borderId="26" xfId="5" applyFont="1" applyFill="1" applyBorder="1"/>
    <xf numFmtId="0" fontId="8" fillId="10" borderId="26" xfId="5" applyFill="1" applyBorder="1"/>
    <xf numFmtId="165" fontId="0" fillId="10" borderId="26" xfId="7" applyFont="1" applyFill="1" applyBorder="1"/>
    <xf numFmtId="165" fontId="8" fillId="0" borderId="0" xfId="5" applyNumberFormat="1"/>
    <xf numFmtId="0" fontId="8" fillId="0" borderId="77" xfId="5" applyBorder="1" applyAlignment="1">
      <alignment horizontal="center"/>
    </xf>
    <xf numFmtId="0" fontId="8" fillId="0" borderId="78" xfId="5" applyBorder="1" applyAlignment="1">
      <alignment horizontal="center"/>
    </xf>
    <xf numFmtId="0" fontId="8" fillId="0" borderId="78" xfId="5" applyBorder="1"/>
    <xf numFmtId="0" fontId="8" fillId="0" borderId="79" xfId="5" applyBorder="1"/>
    <xf numFmtId="0" fontId="8" fillId="0" borderId="0" xfId="5" applyBorder="1" applyAlignment="1">
      <alignment horizontal="center"/>
    </xf>
    <xf numFmtId="0" fontId="28" fillId="0" borderId="36" xfId="5" applyFont="1" applyBorder="1"/>
    <xf numFmtId="0" fontId="8" fillId="0" borderId="58" xfId="5" applyBorder="1"/>
    <xf numFmtId="0" fontId="8" fillId="0" borderId="80" xfId="5" applyBorder="1"/>
    <xf numFmtId="0" fontId="8" fillId="0" borderId="36" xfId="5" applyBorder="1"/>
    <xf numFmtId="0" fontId="8" fillId="0" borderId="39" xfId="5" applyBorder="1"/>
    <xf numFmtId="0" fontId="8" fillId="0" borderId="81" xfId="5" applyBorder="1"/>
    <xf numFmtId="0" fontId="8" fillId="0" borderId="42" xfId="5" applyBorder="1"/>
    <xf numFmtId="0" fontId="28" fillId="12" borderId="36" xfId="5" applyFont="1" applyFill="1" applyBorder="1"/>
    <xf numFmtId="0" fontId="8" fillId="0" borderId="82" xfId="5" applyBorder="1"/>
    <xf numFmtId="0" fontId="8" fillId="0" borderId="60" xfId="5" applyBorder="1"/>
    <xf numFmtId="0" fontId="8" fillId="0" borderId="48" xfId="5" applyBorder="1"/>
    <xf numFmtId="0" fontId="8" fillId="0" borderId="68" xfId="5" applyBorder="1"/>
    <xf numFmtId="0" fontId="28" fillId="13" borderId="36" xfId="5" applyFont="1" applyFill="1" applyBorder="1"/>
    <xf numFmtId="0" fontId="8" fillId="0" borderId="62" xfId="5" applyBorder="1"/>
    <xf numFmtId="0" fontId="8" fillId="0" borderId="55" xfId="5" applyBorder="1"/>
    <xf numFmtId="0" fontId="8" fillId="0" borderId="61" xfId="5" applyBorder="1"/>
    <xf numFmtId="0" fontId="28" fillId="14" borderId="36" xfId="5" applyFont="1" applyFill="1" applyBorder="1"/>
    <xf numFmtId="0" fontId="28" fillId="15" borderId="36" xfId="5" applyFont="1" applyFill="1" applyBorder="1"/>
    <xf numFmtId="0" fontId="8" fillId="0" borderId="70" xfId="5" applyBorder="1"/>
    <xf numFmtId="0" fontId="8" fillId="0" borderId="83" xfId="5" applyBorder="1"/>
    <xf numFmtId="0" fontId="8" fillId="0" borderId="69" xfId="5" applyBorder="1"/>
    <xf numFmtId="0" fontId="8" fillId="0" borderId="30" xfId="5" applyBorder="1"/>
    <xf numFmtId="0" fontId="28" fillId="12" borderId="36" xfId="5" applyFont="1" applyFill="1" applyBorder="1" applyAlignment="1">
      <alignment horizontal="center" wrapText="1"/>
    </xf>
    <xf numFmtId="0" fontId="8" fillId="0" borderId="74" xfId="5" applyBorder="1"/>
    <xf numFmtId="0" fontId="8" fillId="0" borderId="75" xfId="5" applyBorder="1"/>
    <xf numFmtId="0" fontId="8" fillId="0" borderId="76" xfId="5" applyBorder="1"/>
    <xf numFmtId="0" fontId="26" fillId="0" borderId="79" xfId="0" applyFont="1" applyBorder="1" applyAlignment="1">
      <alignment horizontal="center"/>
    </xf>
    <xf numFmtId="0" fontId="0" fillId="0" borderId="26" xfId="0" applyBorder="1" applyAlignment="1"/>
    <xf numFmtId="0" fontId="0" fillId="0" borderId="26" xfId="0" applyFill="1" applyBorder="1"/>
    <xf numFmtId="0" fontId="0" fillId="0" borderId="26" xfId="0" applyFill="1" applyBorder="1" applyAlignment="1">
      <alignment horizontal="left" wrapText="1"/>
    </xf>
    <xf numFmtId="9" fontId="0" fillId="0" borderId="26" xfId="0" applyNumberFormat="1" applyBorder="1" applyAlignment="1">
      <alignment horizontal="center"/>
    </xf>
    <xf numFmtId="0" fontId="26" fillId="0" borderId="26" xfId="0" applyFont="1" applyBorder="1" applyAlignment="1">
      <alignment horizontal="center"/>
    </xf>
    <xf numFmtId="0" fontId="0" fillId="0" borderId="85" xfId="0" applyBorder="1"/>
    <xf numFmtId="0" fontId="0" fillId="0" borderId="49" xfId="0" applyBorder="1" applyAlignment="1">
      <alignment horizontal="center"/>
    </xf>
    <xf numFmtId="3" fontId="0" fillId="0" borderId="26" xfId="0" applyNumberFormat="1" applyBorder="1" applyAlignment="1">
      <alignment horizontal="center"/>
    </xf>
    <xf numFmtId="2" fontId="0" fillId="0" borderId="36" xfId="0" applyNumberFormat="1" applyFill="1" applyBorder="1" applyAlignment="1">
      <alignment horizontal="center" vertical="center"/>
    </xf>
    <xf numFmtId="4" fontId="29" fillId="0" borderId="6" xfId="0" applyNumberFormat="1" applyFont="1" applyBorder="1" applyAlignment="1">
      <alignment horizontal="center" vertical="center" wrapText="1"/>
    </xf>
    <xf numFmtId="0" fontId="36" fillId="9" borderId="26" xfId="5" applyFont="1" applyFill="1" applyBorder="1" applyAlignment="1">
      <alignment horizontal="center"/>
    </xf>
    <xf numFmtId="0" fontId="37" fillId="10" borderId="69" xfId="5" applyFont="1" applyFill="1" applyBorder="1"/>
    <xf numFmtId="165" fontId="37" fillId="10" borderId="26" xfId="7" applyFont="1" applyFill="1" applyBorder="1"/>
    <xf numFmtId="0" fontId="37" fillId="10" borderId="26" xfId="5" applyFont="1" applyFill="1" applyBorder="1"/>
    <xf numFmtId="165" fontId="38" fillId="10" borderId="26" xfId="7" applyFont="1" applyFill="1" applyBorder="1"/>
    <xf numFmtId="166" fontId="37" fillId="10" borderId="26" xfId="8" applyFont="1" applyFill="1" applyBorder="1"/>
    <xf numFmtId="0" fontId="37" fillId="10" borderId="69" xfId="5" applyFont="1" applyFill="1" applyBorder="1" applyAlignment="1">
      <alignment vertical="center"/>
    </xf>
    <xf numFmtId="0" fontId="36" fillId="10" borderId="71" xfId="5" applyFont="1" applyFill="1" applyBorder="1"/>
    <xf numFmtId="165" fontId="36" fillId="10" borderId="30" xfId="7" applyFont="1" applyFill="1" applyBorder="1"/>
    <xf numFmtId="165" fontId="37" fillId="10" borderId="30" xfId="7" applyFont="1" applyFill="1" applyBorder="1"/>
    <xf numFmtId="0" fontId="37" fillId="10" borderId="30" xfId="5" applyFont="1" applyFill="1" applyBorder="1"/>
    <xf numFmtId="0" fontId="38" fillId="10" borderId="72" xfId="5" applyFont="1" applyFill="1" applyBorder="1"/>
    <xf numFmtId="165" fontId="38" fillId="10" borderId="65" xfId="7" applyFont="1" applyFill="1" applyBorder="1"/>
    <xf numFmtId="0" fontId="38" fillId="10" borderId="65" xfId="5" applyFont="1" applyFill="1" applyBorder="1"/>
    <xf numFmtId="0" fontId="38" fillId="10" borderId="69" xfId="5" applyFont="1" applyFill="1" applyBorder="1"/>
    <xf numFmtId="166" fontId="38" fillId="10" borderId="26" xfId="8" applyFont="1" applyFill="1" applyBorder="1"/>
    <xf numFmtId="0" fontId="38" fillId="10" borderId="26" xfId="5" applyFont="1" applyFill="1" applyBorder="1"/>
    <xf numFmtId="165" fontId="38" fillId="10" borderId="26" xfId="5" applyNumberFormat="1" applyFont="1" applyFill="1" applyBorder="1"/>
    <xf numFmtId="0" fontId="39" fillId="10" borderId="74" xfId="5" applyFont="1" applyFill="1" applyBorder="1"/>
    <xf numFmtId="0" fontId="38" fillId="10" borderId="75" xfId="5" applyFont="1" applyFill="1" applyBorder="1"/>
    <xf numFmtId="165" fontId="38" fillId="10" borderId="75" xfId="5" applyNumberFormat="1" applyFont="1" applyFill="1" applyBorder="1"/>
    <xf numFmtId="165" fontId="39" fillId="10" borderId="75" xfId="5" applyNumberFormat="1" applyFont="1" applyFill="1" applyBorder="1"/>
    <xf numFmtId="178" fontId="37" fillId="10" borderId="70" xfId="7" applyNumberFormat="1" applyFont="1" applyFill="1" applyBorder="1"/>
    <xf numFmtId="178" fontId="36" fillId="10" borderId="70" xfId="7" applyNumberFormat="1" applyFont="1" applyFill="1" applyBorder="1"/>
    <xf numFmtId="178" fontId="38" fillId="10" borderId="73" xfId="7" applyNumberFormat="1" applyFont="1" applyFill="1" applyBorder="1"/>
    <xf numFmtId="178" fontId="38" fillId="10" borderId="70" xfId="7" applyNumberFormat="1" applyFont="1" applyFill="1" applyBorder="1"/>
    <xf numFmtId="178" fontId="39" fillId="10" borderId="76" xfId="5" applyNumberFormat="1" applyFont="1" applyFill="1" applyBorder="1"/>
    <xf numFmtId="0" fontId="41" fillId="8" borderId="0" xfId="5" applyFont="1" applyFill="1"/>
    <xf numFmtId="43" fontId="40" fillId="8" borderId="0" xfId="6" applyFont="1" applyFill="1"/>
    <xf numFmtId="0" fontId="7" fillId="0" borderId="0" xfId="5" applyFont="1"/>
    <xf numFmtId="180" fontId="0" fillId="0" borderId="0" xfId="0" applyNumberFormat="1"/>
    <xf numFmtId="0" fontId="0" fillId="0" borderId="0" xfId="0" applyBorder="1" applyAlignment="1">
      <alignment horizontal="center" wrapText="1"/>
    </xf>
    <xf numFmtId="4" fontId="0" fillId="0" borderId="0" xfId="0" applyNumberFormat="1" applyBorder="1"/>
    <xf numFmtId="0" fontId="0" fillId="0" borderId="26" xfId="0" applyBorder="1" applyAlignment="1">
      <alignment horizontal="center"/>
    </xf>
    <xf numFmtId="0" fontId="0" fillId="0" borderId="0" xfId="0" applyAlignment="1">
      <alignment horizontal="center"/>
    </xf>
    <xf numFmtId="43" fontId="42" fillId="8" borderId="0" xfId="6" applyFont="1" applyFill="1"/>
    <xf numFmtId="43" fontId="15" fillId="0" borderId="0" xfId="6" applyFont="1"/>
    <xf numFmtId="180" fontId="38" fillId="10" borderId="75" xfId="4" applyNumberFormat="1" applyFont="1" applyFill="1" applyBorder="1"/>
    <xf numFmtId="0" fontId="31" fillId="10" borderId="30" xfId="5" applyFont="1" applyFill="1" applyBorder="1"/>
    <xf numFmtId="0" fontId="8" fillId="10" borderId="30" xfId="5" applyFill="1" applyBorder="1"/>
    <xf numFmtId="0" fontId="31" fillId="8" borderId="26" xfId="5" applyFont="1" applyFill="1" applyBorder="1"/>
    <xf numFmtId="0" fontId="0" fillId="0" borderId="59" xfId="0" applyBorder="1"/>
    <xf numFmtId="0" fontId="0" fillId="0" borderId="59" xfId="0" applyBorder="1" applyAlignment="1">
      <alignment horizontal="center"/>
    </xf>
    <xf numFmtId="0" fontId="0" fillId="0" borderId="26" xfId="0" applyBorder="1" applyAlignment="1">
      <alignment horizontal="left"/>
    </xf>
    <xf numFmtId="0" fontId="44" fillId="0" borderId="0" xfId="0" applyFont="1"/>
    <xf numFmtId="43" fontId="0" fillId="0" borderId="0" xfId="9" applyFont="1"/>
    <xf numFmtId="43" fontId="0" fillId="0" borderId="0" xfId="9" applyFont="1" applyAlignment="1">
      <alignment vertical="center" wrapText="1"/>
    </xf>
    <xf numFmtId="0" fontId="0" fillId="0" borderId="0" xfId="9" applyNumberFormat="1" applyFont="1"/>
    <xf numFmtId="43" fontId="0" fillId="0" borderId="0" xfId="9" applyFont="1" applyAlignment="1">
      <alignment horizontal="center" vertical="center" wrapText="1"/>
    </xf>
    <xf numFmtId="0" fontId="8" fillId="0" borderId="0" xfId="5" applyFill="1" applyBorder="1"/>
    <xf numFmtId="43" fontId="0" fillId="0" borderId="0" xfId="6" applyFont="1" applyBorder="1"/>
    <xf numFmtId="0" fontId="41" fillId="8" borderId="0" xfId="5" applyFont="1" applyFill="1" applyBorder="1"/>
    <xf numFmtId="43" fontId="41" fillId="8" borderId="0" xfId="9" applyFont="1" applyFill="1" applyBorder="1"/>
    <xf numFmtId="43" fontId="40" fillId="8" borderId="0" xfId="6" applyFont="1" applyFill="1" applyBorder="1"/>
    <xf numFmtId="0" fontId="45" fillId="0" borderId="0" xfId="10"/>
    <xf numFmtId="43" fontId="46" fillId="0" borderId="32" xfId="9" applyFont="1" applyBorder="1" applyAlignment="1">
      <alignment horizontal="center"/>
    </xf>
    <xf numFmtId="43" fontId="46" fillId="0" borderId="38" xfId="9" applyFont="1" applyBorder="1" applyAlignment="1">
      <alignment horizontal="center"/>
    </xf>
    <xf numFmtId="43" fontId="46" fillId="0" borderId="33" xfId="9" applyFont="1" applyBorder="1" applyAlignment="1">
      <alignment horizontal="center"/>
    </xf>
    <xf numFmtId="43" fontId="46" fillId="0" borderId="80" xfId="9" applyFont="1" applyBorder="1" applyAlignment="1">
      <alignment horizontal="center"/>
    </xf>
    <xf numFmtId="43" fontId="46" fillId="0" borderId="0" xfId="9" applyFont="1" applyBorder="1" applyAlignment="1">
      <alignment horizontal="center"/>
    </xf>
    <xf numFmtId="43" fontId="46" fillId="0" borderId="58" xfId="9" applyFont="1" applyBorder="1" applyAlignment="1">
      <alignment horizontal="center"/>
    </xf>
    <xf numFmtId="43" fontId="46" fillId="0" borderId="36" xfId="9" applyFont="1" applyBorder="1" applyAlignment="1">
      <alignment horizontal="left"/>
    </xf>
    <xf numFmtId="0" fontId="47" fillId="0" borderId="80" xfId="9" applyNumberFormat="1" applyFont="1" applyBorder="1"/>
    <xf numFmtId="43" fontId="47" fillId="0" borderId="0" xfId="9" applyFont="1" applyBorder="1"/>
    <xf numFmtId="43" fontId="47" fillId="0" borderId="58" xfId="9" applyFont="1" applyBorder="1"/>
    <xf numFmtId="0" fontId="46" fillId="0" borderId="32" xfId="9" applyNumberFormat="1" applyFont="1" applyBorder="1" applyAlignment="1">
      <alignment horizontal="left"/>
    </xf>
    <xf numFmtId="0" fontId="46" fillId="0" borderId="33" xfId="9" applyNumberFormat="1" applyFont="1" applyBorder="1" applyAlignment="1">
      <alignment horizontal="left"/>
    </xf>
    <xf numFmtId="43" fontId="46" fillId="0" borderId="32" xfId="9" applyFont="1" applyBorder="1" applyAlignment="1">
      <alignment horizontal="left"/>
    </xf>
    <xf numFmtId="43" fontId="46" fillId="0" borderId="38" xfId="9" applyFont="1" applyBorder="1" applyAlignment="1">
      <alignment horizontal="left"/>
    </xf>
    <xf numFmtId="43" fontId="46" fillId="0" borderId="33" xfId="9" applyFont="1" applyBorder="1" applyAlignment="1">
      <alignment horizontal="left"/>
    </xf>
    <xf numFmtId="43" fontId="46" fillId="0" borderId="36" xfId="9" applyFont="1" applyBorder="1" applyAlignment="1">
      <alignment horizontal="center"/>
    </xf>
    <xf numFmtId="0" fontId="46" fillId="0" borderId="36" xfId="9" applyNumberFormat="1" applyFont="1" applyBorder="1"/>
    <xf numFmtId="43" fontId="47" fillId="0" borderId="32" xfId="9" applyFont="1" applyBorder="1" applyAlignment="1">
      <alignment horizontal="center"/>
    </xf>
    <xf numFmtId="43" fontId="47" fillId="0" borderId="38" xfId="9" applyFont="1" applyBorder="1" applyAlignment="1">
      <alignment horizontal="center"/>
    </xf>
    <xf numFmtId="43" fontId="47" fillId="0" borderId="33" xfId="9" applyFont="1" applyBorder="1" applyAlignment="1">
      <alignment horizontal="center"/>
    </xf>
    <xf numFmtId="43" fontId="46" fillId="0" borderId="36" xfId="9" applyFont="1" applyBorder="1"/>
    <xf numFmtId="0" fontId="47" fillId="0" borderId="69" xfId="9" applyNumberFormat="1" applyFont="1" applyBorder="1"/>
    <xf numFmtId="0" fontId="47" fillId="0" borderId="26" xfId="9" applyNumberFormat="1" applyFont="1" applyBorder="1"/>
    <xf numFmtId="43" fontId="47" fillId="0" borderId="26" xfId="9" applyFont="1" applyBorder="1"/>
    <xf numFmtId="43" fontId="47" fillId="0" borderId="70" xfId="9" applyFont="1" applyBorder="1"/>
    <xf numFmtId="0" fontId="47" fillId="0" borderId="71" xfId="9" applyNumberFormat="1" applyFont="1" applyBorder="1"/>
    <xf numFmtId="43" fontId="47" fillId="0" borderId="30" xfId="9" applyFont="1" applyBorder="1"/>
    <xf numFmtId="43" fontId="47" fillId="0" borderId="86" xfId="9" applyFont="1" applyBorder="1"/>
    <xf numFmtId="43" fontId="46" fillId="0" borderId="32" xfId="9" applyFont="1" applyBorder="1" applyAlignment="1"/>
    <xf numFmtId="0" fontId="47" fillId="0" borderId="0" xfId="9" applyNumberFormat="1" applyFont="1"/>
    <xf numFmtId="43" fontId="47" fillId="0" borderId="0" xfId="9" applyFont="1"/>
    <xf numFmtId="43" fontId="47" fillId="0" borderId="77" xfId="9" applyFont="1" applyBorder="1" applyAlignment="1">
      <alignment horizontal="left"/>
    </xf>
    <xf numFmtId="43" fontId="47" fillId="0" borderId="78" xfId="9" applyFont="1" applyBorder="1" applyAlignment="1">
      <alignment horizontal="left"/>
    </xf>
    <xf numFmtId="43" fontId="47" fillId="0" borderId="77" xfId="9" applyFont="1" applyBorder="1" applyAlignment="1"/>
    <xf numFmtId="43" fontId="47" fillId="0" borderId="78" xfId="9" applyFont="1" applyBorder="1" applyAlignment="1"/>
    <xf numFmtId="43" fontId="47" fillId="0" borderId="78" xfId="9" applyFont="1" applyBorder="1"/>
    <xf numFmtId="43" fontId="47" fillId="0" borderId="79" xfId="9" applyFont="1" applyBorder="1"/>
    <xf numFmtId="43" fontId="47" fillId="0" borderId="80" xfId="9" applyFont="1" applyBorder="1" applyAlignment="1">
      <alignment horizontal="left"/>
    </xf>
    <xf numFmtId="43" fontId="47" fillId="0" borderId="0" xfId="9" applyFont="1" applyBorder="1" applyAlignment="1">
      <alignment horizontal="left"/>
    </xf>
    <xf numFmtId="43" fontId="47" fillId="0" borderId="80" xfId="9" applyFont="1" applyBorder="1" applyAlignment="1"/>
    <xf numFmtId="43" fontId="47" fillId="0" borderId="0" xfId="9" applyFont="1" applyBorder="1" applyAlignment="1"/>
    <xf numFmtId="43" fontId="47" fillId="0" borderId="39" xfId="9" applyFont="1" applyBorder="1" applyAlignment="1">
      <alignment horizontal="left"/>
    </xf>
    <xf numFmtId="43" fontId="47" fillId="0" borderId="81" xfId="9" applyFont="1" applyBorder="1" applyAlignment="1">
      <alignment horizontal="left"/>
    </xf>
    <xf numFmtId="43" fontId="47" fillId="0" borderId="39" xfId="9" applyFont="1" applyBorder="1" applyAlignment="1"/>
    <xf numFmtId="43" fontId="47" fillId="0" borderId="81" xfId="9" applyFont="1" applyBorder="1" applyAlignment="1"/>
    <xf numFmtId="43" fontId="47" fillId="0" borderId="81" xfId="9" applyFont="1" applyBorder="1"/>
    <xf numFmtId="0" fontId="48" fillId="0" borderId="69" xfId="9" applyNumberFormat="1" applyFont="1" applyBorder="1" applyAlignment="1">
      <alignment horizontal="center" vertical="center" wrapText="1"/>
    </xf>
    <xf numFmtId="43" fontId="48" fillId="0" borderId="26" xfId="9" applyFont="1" applyBorder="1" applyAlignment="1">
      <alignment horizontal="center" vertical="center" wrapText="1"/>
    </xf>
    <xf numFmtId="43" fontId="48" fillId="0" borderId="70" xfId="9" applyFont="1" applyBorder="1" applyAlignment="1">
      <alignment horizontal="center" vertical="center" wrapText="1"/>
    </xf>
    <xf numFmtId="43" fontId="46" fillId="17" borderId="69" xfId="9" applyFont="1" applyFill="1" applyBorder="1" applyAlignment="1">
      <alignment horizontal="center"/>
    </xf>
    <xf numFmtId="43" fontId="46" fillId="17" borderId="26" xfId="9" applyFont="1" applyFill="1" applyBorder="1" applyAlignment="1">
      <alignment horizontal="center"/>
    </xf>
    <xf numFmtId="43" fontId="50" fillId="19" borderId="26" xfId="9" applyFont="1" applyFill="1" applyBorder="1" applyAlignment="1">
      <alignment horizontal="center"/>
    </xf>
    <xf numFmtId="43" fontId="49" fillId="19" borderId="26" xfId="9" applyFont="1" applyFill="1" applyBorder="1" applyAlignment="1">
      <alignment horizontal="center"/>
    </xf>
    <xf numFmtId="43" fontId="46" fillId="20" borderId="26" xfId="9" applyFont="1" applyFill="1" applyBorder="1" applyAlignment="1">
      <alignment horizontal="center"/>
    </xf>
    <xf numFmtId="43" fontId="46" fillId="20" borderId="70" xfId="9" applyFont="1" applyFill="1" applyBorder="1" applyAlignment="1">
      <alignment horizontal="center"/>
    </xf>
    <xf numFmtId="43" fontId="46" fillId="16" borderId="42" xfId="9" applyFont="1" applyFill="1" applyBorder="1"/>
    <xf numFmtId="43" fontId="47" fillId="21" borderId="77" xfId="9" applyFont="1" applyFill="1" applyBorder="1" applyAlignment="1">
      <alignment horizontal="left"/>
    </xf>
    <xf numFmtId="43" fontId="47" fillId="21" borderId="78" xfId="9" applyFont="1" applyFill="1" applyBorder="1" applyAlignment="1">
      <alignment horizontal="left"/>
    </xf>
    <xf numFmtId="43" fontId="47" fillId="18" borderId="80" xfId="9" applyFont="1" applyFill="1" applyBorder="1" applyAlignment="1">
      <alignment horizontal="left"/>
    </xf>
    <xf numFmtId="43" fontId="47" fillId="18" borderId="0" xfId="9" applyFont="1" applyFill="1" applyBorder="1" applyAlignment="1">
      <alignment horizontal="left"/>
    </xf>
    <xf numFmtId="43" fontId="47" fillId="20" borderId="39" xfId="9" applyFont="1" applyFill="1" applyBorder="1" applyAlignment="1">
      <alignment horizontal="left"/>
    </xf>
    <xf numFmtId="43" fontId="47" fillId="20" borderId="81" xfId="9" applyFont="1" applyFill="1" applyBorder="1" applyAlignment="1">
      <alignment horizontal="left"/>
    </xf>
    <xf numFmtId="0" fontId="4" fillId="0" borderId="0" xfId="5" applyFont="1"/>
    <xf numFmtId="0" fontId="52" fillId="0" borderId="0" xfId="0" applyFont="1" applyProtection="1">
      <protection locked="0"/>
    </xf>
    <xf numFmtId="0" fontId="0" fillId="0" borderId="0" xfId="0"/>
    <xf numFmtId="0" fontId="53" fillId="0" borderId="0" xfId="0" applyFont="1" applyProtection="1">
      <protection locked="0"/>
    </xf>
    <xf numFmtId="0" fontId="0" fillId="0" borderId="0" xfId="0" applyProtection="1">
      <protection locked="0"/>
    </xf>
    <xf numFmtId="0" fontId="55" fillId="0" borderId="0" xfId="15" applyFont="1" applyAlignment="1" applyProtection="1"/>
    <xf numFmtId="0" fontId="56" fillId="0" borderId="0" xfId="0" applyFont="1"/>
    <xf numFmtId="43" fontId="47" fillId="20" borderId="81" xfId="9" applyFont="1" applyFill="1" applyBorder="1" applyAlignment="1">
      <alignment horizontal="left"/>
    </xf>
    <xf numFmtId="43" fontId="47" fillId="21" borderId="78" xfId="9" applyFont="1" applyFill="1" applyBorder="1" applyAlignment="1">
      <alignment horizontal="left"/>
    </xf>
    <xf numFmtId="43" fontId="47" fillId="18" borderId="0" xfId="9" applyFont="1" applyFill="1" applyBorder="1" applyAlignment="1">
      <alignment horizontal="left"/>
    </xf>
    <xf numFmtId="0" fontId="58" fillId="0" borderId="0" xfId="0" applyFont="1" applyProtection="1">
      <protection locked="0"/>
    </xf>
    <xf numFmtId="0" fontId="60" fillId="0" borderId="0" xfId="0" applyFont="1" applyProtection="1">
      <protection locked="0"/>
    </xf>
    <xf numFmtId="0" fontId="58" fillId="0" borderId="0" xfId="0" applyFont="1" applyAlignment="1" applyProtection="1">
      <alignment horizontal="left" wrapText="1"/>
      <protection locked="0"/>
    </xf>
    <xf numFmtId="0" fontId="62" fillId="0" borderId="0" xfId="16" applyFont="1" applyAlignment="1"/>
    <xf numFmtId="0" fontId="63" fillId="0" borderId="0" xfId="0" applyFont="1" applyAlignment="1" applyProtection="1">
      <alignment horizontal="left" wrapText="1"/>
      <protection locked="0"/>
    </xf>
    <xf numFmtId="0" fontId="28" fillId="6" borderId="26" xfId="18" applyFont="1" applyFill="1" applyBorder="1"/>
    <xf numFmtId="43" fontId="28" fillId="6" borderId="26" xfId="18" applyNumberFormat="1" applyFont="1" applyFill="1" applyBorder="1"/>
    <xf numFmtId="43" fontId="28" fillId="6" borderId="26" xfId="18" applyNumberFormat="1" applyFont="1" applyFill="1" applyBorder="1" applyAlignment="1">
      <alignment horizontal="center"/>
    </xf>
    <xf numFmtId="0" fontId="28" fillId="6" borderId="30" xfId="18" applyFont="1" applyFill="1" applyBorder="1"/>
    <xf numFmtId="43" fontId="28" fillId="6" borderId="30" xfId="18" applyNumberFormat="1" applyFont="1" applyFill="1" applyBorder="1"/>
    <xf numFmtId="0" fontId="28" fillId="6" borderId="26" xfId="5" applyFont="1" applyFill="1" applyBorder="1" applyAlignment="1">
      <alignment horizontal="center"/>
    </xf>
    <xf numFmtId="0" fontId="28" fillId="6" borderId="26" xfId="5" applyFont="1" applyFill="1" applyBorder="1" applyAlignment="1">
      <alignment horizontal="center" wrapText="1"/>
    </xf>
    <xf numFmtId="0" fontId="28" fillId="25" borderId="26" xfId="18" applyFont="1" applyBorder="1"/>
    <xf numFmtId="0" fontId="28" fillId="25" borderId="26" xfId="18" applyFont="1" applyBorder="1" applyAlignment="1">
      <alignment vertical="center"/>
    </xf>
    <xf numFmtId="0" fontId="28" fillId="25" borderId="26" xfId="18" applyFont="1" applyBorder="1" applyAlignment="1">
      <alignment wrapText="1"/>
    </xf>
    <xf numFmtId="181" fontId="59" fillId="28" borderId="8" xfId="0" applyNumberFormat="1" applyFont="1" applyFill="1" applyBorder="1" applyProtection="1"/>
    <xf numFmtId="181" fontId="59" fillId="30" borderId="8" xfId="0" applyNumberFormat="1" applyFont="1" applyFill="1" applyBorder="1" applyProtection="1"/>
    <xf numFmtId="0" fontId="59" fillId="27" borderId="8" xfId="0" applyFont="1" applyFill="1" applyBorder="1" applyAlignment="1" applyProtection="1">
      <alignment horizontal="left" wrapText="1"/>
      <protection locked="0"/>
    </xf>
    <xf numFmtId="0" fontId="59" fillId="22" borderId="8" xfId="0" applyFont="1" applyFill="1" applyBorder="1" applyAlignment="1" applyProtection="1">
      <alignment horizontal="left" wrapText="1"/>
      <protection locked="0"/>
    </xf>
    <xf numFmtId="0" fontId="59" fillId="23" borderId="8" xfId="0" applyFont="1" applyFill="1" applyBorder="1" applyProtection="1">
      <protection locked="0"/>
    </xf>
    <xf numFmtId="181" fontId="59" fillId="29" borderId="8" xfId="0" applyNumberFormat="1" applyFont="1" applyFill="1" applyBorder="1" applyProtection="1">
      <protection locked="0"/>
    </xf>
    <xf numFmtId="182" fontId="59" fillId="31" borderId="8" xfId="0" applyNumberFormat="1" applyFont="1" applyFill="1" applyBorder="1" applyProtection="1">
      <protection locked="0"/>
    </xf>
    <xf numFmtId="0" fontId="67" fillId="28" borderId="6" xfId="0" applyFont="1" applyFill="1" applyBorder="1" applyAlignment="1" applyProtection="1">
      <alignment horizontal="center" vertical="center"/>
      <protection locked="0"/>
    </xf>
    <xf numFmtId="0" fontId="67" fillId="30" borderId="6" xfId="0" applyFont="1" applyFill="1" applyBorder="1" applyAlignment="1" applyProtection="1">
      <alignment horizontal="center" vertical="center"/>
      <protection locked="0"/>
    </xf>
    <xf numFmtId="0" fontId="67" fillId="32" borderId="6" xfId="0" applyFont="1" applyFill="1" applyBorder="1" applyAlignment="1" applyProtection="1">
      <alignment horizontal="center" vertical="center"/>
      <protection locked="0"/>
    </xf>
    <xf numFmtId="0" fontId="68" fillId="0" borderId="88" xfId="0" applyFont="1" applyFill="1" applyBorder="1" applyAlignment="1" applyProtection="1">
      <alignment horizontal="center" vertical="center" wrapText="1"/>
      <protection locked="0"/>
    </xf>
    <xf numFmtId="0" fontId="59" fillId="0" borderId="91" xfId="0" applyFont="1" applyBorder="1" applyAlignment="1" applyProtection="1">
      <alignment horizontal="center" vertical="center" wrapText="1"/>
      <protection locked="0"/>
    </xf>
    <xf numFmtId="0" fontId="28" fillId="6" borderId="26" xfId="5" applyFont="1" applyFill="1" applyBorder="1" applyAlignment="1">
      <alignment horizontal="center" vertical="center"/>
    </xf>
    <xf numFmtId="43" fontId="28" fillId="6" borderId="26" xfId="6" applyFont="1" applyFill="1" applyBorder="1" applyAlignment="1">
      <alignment horizontal="center" wrapText="1"/>
    </xf>
    <xf numFmtId="0" fontId="8" fillId="6" borderId="26" xfId="5" applyFill="1" applyBorder="1"/>
    <xf numFmtId="43" fontId="0" fillId="6" borderId="26" xfId="9" applyFont="1" applyFill="1" applyBorder="1" applyAlignment="1"/>
    <xf numFmtId="0" fontId="5" fillId="6" borderId="26" xfId="5" applyFont="1" applyFill="1" applyBorder="1" applyAlignment="1">
      <alignment horizontal="center"/>
    </xf>
    <xf numFmtId="43" fontId="0" fillId="6" borderId="26" xfId="6" applyFont="1" applyFill="1" applyBorder="1" applyAlignment="1"/>
    <xf numFmtId="0" fontId="8" fillId="6" borderId="26" xfId="5" applyFill="1" applyBorder="1" applyAlignment="1">
      <alignment horizontal="center"/>
    </xf>
    <xf numFmtId="0" fontId="5" fillId="6" borderId="26" xfId="5" applyFont="1" applyFill="1" applyBorder="1"/>
    <xf numFmtId="43" fontId="28" fillId="6" borderId="26" xfId="9" applyFont="1" applyFill="1" applyBorder="1" applyAlignment="1">
      <alignment horizontal="center"/>
    </xf>
    <xf numFmtId="0" fontId="8" fillId="6" borderId="26" xfId="5" applyFont="1" applyFill="1" applyBorder="1"/>
    <xf numFmtId="0" fontId="8" fillId="6" borderId="30" xfId="5" applyFill="1" applyBorder="1"/>
    <xf numFmtId="43" fontId="0" fillId="6" borderId="30" xfId="6" applyFont="1" applyFill="1" applyBorder="1" applyAlignment="1"/>
    <xf numFmtId="0" fontId="5" fillId="6" borderId="30" xfId="5" applyFont="1" applyFill="1" applyBorder="1" applyAlignment="1">
      <alignment horizontal="center"/>
    </xf>
    <xf numFmtId="0" fontId="65" fillId="24" borderId="48" xfId="17" applyFont="1" applyBorder="1" applyAlignment="1">
      <alignment vertical="center"/>
    </xf>
    <xf numFmtId="0" fontId="65" fillId="24" borderId="48" xfId="17" applyFont="1" applyBorder="1" applyAlignment="1">
      <alignment vertical="center" wrapText="1"/>
    </xf>
    <xf numFmtId="0" fontId="65" fillId="24" borderId="48" xfId="17" applyFont="1" applyBorder="1" applyAlignment="1">
      <alignment horizontal="center" wrapText="1"/>
    </xf>
    <xf numFmtId="0" fontId="28" fillId="6" borderId="77" xfId="18" applyFont="1" applyFill="1" applyBorder="1" applyAlignment="1"/>
    <xf numFmtId="0" fontId="28" fillId="6" borderId="78" xfId="18" applyFont="1" applyFill="1" applyBorder="1" applyAlignment="1"/>
    <xf numFmtId="43" fontId="28" fillId="6" borderId="59" xfId="18" applyNumberFormat="1" applyFont="1" applyFill="1" applyBorder="1"/>
    <xf numFmtId="0" fontId="28" fillId="6" borderId="79" xfId="18" applyFont="1" applyFill="1" applyBorder="1"/>
    <xf numFmtId="0" fontId="66" fillId="24" borderId="48" xfId="17" applyBorder="1" applyAlignment="1">
      <alignment horizontal="center" vertical="center"/>
    </xf>
    <xf numFmtId="43" fontId="66" fillId="24" borderId="48" xfId="17" applyNumberFormat="1" applyBorder="1" applyAlignment="1">
      <alignment horizontal="center" vertical="center" wrapText="1"/>
    </xf>
    <xf numFmtId="43" fontId="66" fillId="24" borderId="48" xfId="17" applyNumberFormat="1" applyBorder="1" applyAlignment="1">
      <alignment horizontal="center" wrapText="1"/>
    </xf>
    <xf numFmtId="0" fontId="66" fillId="24" borderId="48" xfId="17" applyBorder="1" applyAlignment="1">
      <alignment horizontal="center" wrapText="1"/>
    </xf>
    <xf numFmtId="43" fontId="28" fillId="25" borderId="26" xfId="18" applyNumberFormat="1" applyFont="1" applyBorder="1"/>
    <xf numFmtId="179" fontId="28" fillId="25" borderId="26" xfId="18" applyNumberFormat="1" applyFont="1" applyBorder="1"/>
    <xf numFmtId="43" fontId="28" fillId="25" borderId="26" xfId="18" applyNumberFormat="1" applyFont="1" applyBorder="1" applyAlignment="1">
      <alignment horizontal="left"/>
    </xf>
    <xf numFmtId="0" fontId="65" fillId="24" borderId="48" xfId="17" applyFont="1" applyBorder="1" applyAlignment="1">
      <alignment horizontal="center" vertical="center"/>
    </xf>
    <xf numFmtId="43" fontId="65" fillId="24" borderId="48" xfId="17" applyNumberFormat="1" applyFont="1" applyBorder="1" applyAlignment="1">
      <alignment horizontal="center" vertical="center"/>
    </xf>
    <xf numFmtId="43" fontId="65" fillId="24" borderId="48" xfId="17" applyNumberFormat="1" applyFont="1" applyBorder="1" applyAlignment="1">
      <alignment horizontal="center" vertical="center" wrapText="1"/>
    </xf>
    <xf numFmtId="43" fontId="15" fillId="6" borderId="26" xfId="6" applyNumberFormat="1" applyFont="1" applyFill="1" applyBorder="1" applyAlignment="1"/>
    <xf numFmtId="43" fontId="28" fillId="6" borderId="26" xfId="5" applyNumberFormat="1" applyFont="1" applyFill="1" applyBorder="1"/>
    <xf numFmtId="0" fontId="28" fillId="6" borderId="75" xfId="5" applyFont="1" applyFill="1" applyBorder="1" applyAlignment="1">
      <alignment horizontal="center"/>
    </xf>
    <xf numFmtId="43" fontId="28" fillId="25" borderId="30" xfId="18" applyNumberFormat="1" applyFont="1" applyBorder="1"/>
    <xf numFmtId="0" fontId="3" fillId="25" borderId="92" xfId="18" applyBorder="1"/>
    <xf numFmtId="43" fontId="28" fillId="25" borderId="36" xfId="18" applyNumberFormat="1" applyFont="1" applyBorder="1"/>
    <xf numFmtId="43" fontId="28" fillId="25" borderId="33" xfId="18" applyNumberFormat="1" applyFont="1" applyBorder="1"/>
    <xf numFmtId="43" fontId="28" fillId="25" borderId="26" xfId="18" applyNumberFormat="1" applyFont="1" applyBorder="1" applyAlignment="1"/>
    <xf numFmtId="0" fontId="28" fillId="25" borderId="26" xfId="18" applyFont="1" applyBorder="1" applyAlignment="1">
      <alignment horizontal="center"/>
    </xf>
    <xf numFmtId="43" fontId="28" fillId="25" borderId="30" xfId="18" applyNumberFormat="1" applyFont="1" applyBorder="1" applyAlignment="1"/>
    <xf numFmtId="0" fontId="28" fillId="25" borderId="30" xfId="18" applyFont="1" applyBorder="1" applyAlignment="1">
      <alignment horizontal="center"/>
    </xf>
    <xf numFmtId="0" fontId="28" fillId="25" borderId="77" xfId="18" applyFont="1" applyBorder="1" applyAlignment="1">
      <alignment horizontal="center"/>
    </xf>
    <xf numFmtId="43" fontId="28" fillId="25" borderId="59" xfId="18" applyNumberFormat="1" applyFont="1" applyBorder="1"/>
    <xf numFmtId="0" fontId="28" fillId="25" borderId="79" xfId="18" applyFont="1" applyBorder="1" applyAlignment="1">
      <alignment horizontal="center"/>
    </xf>
    <xf numFmtId="0" fontId="15" fillId="34" borderId="36" xfId="0" applyFont="1" applyFill="1" applyBorder="1" applyAlignment="1">
      <alignment vertical="center"/>
    </xf>
    <xf numFmtId="0" fontId="15" fillId="34" borderId="41" xfId="0" applyFont="1" applyFill="1" applyBorder="1" applyAlignment="1">
      <alignment vertical="center"/>
    </xf>
    <xf numFmtId="0" fontId="15" fillId="34" borderId="95" xfId="0" applyFont="1" applyFill="1" applyBorder="1" applyAlignment="1">
      <alignment vertical="center"/>
    </xf>
    <xf numFmtId="0" fontId="15" fillId="34" borderId="57" xfId="0" applyFont="1" applyFill="1" applyBorder="1" applyAlignment="1">
      <alignment vertical="center"/>
    </xf>
    <xf numFmtId="0" fontId="15" fillId="0" borderId="33" xfId="0" applyFont="1" applyBorder="1" applyAlignment="1">
      <alignment vertical="center"/>
    </xf>
    <xf numFmtId="0" fontId="70" fillId="24" borderId="48" xfId="17" applyFont="1" applyBorder="1" applyAlignment="1">
      <alignment horizontal="center"/>
    </xf>
    <xf numFmtId="178" fontId="70" fillId="24" borderId="48" xfId="17" applyNumberFormat="1" applyFont="1" applyBorder="1" applyAlignment="1">
      <alignment horizontal="center"/>
    </xf>
    <xf numFmtId="0" fontId="70" fillId="24" borderId="48" xfId="17" applyFont="1" applyBorder="1" applyAlignment="1">
      <alignment horizontal="center" wrapText="1"/>
    </xf>
    <xf numFmtId="0" fontId="30" fillId="25" borderId="26" xfId="18" applyFont="1" applyBorder="1"/>
    <xf numFmtId="0" fontId="30" fillId="25" borderId="26" xfId="18" applyFont="1" applyBorder="1" applyAlignment="1">
      <alignment vertical="center"/>
    </xf>
    <xf numFmtId="178" fontId="30" fillId="25" borderId="26" xfId="18" applyNumberFormat="1" applyFont="1" applyBorder="1"/>
    <xf numFmtId="0" fontId="30" fillId="25" borderId="26" xfId="18" applyFont="1" applyBorder="1" applyAlignment="1"/>
    <xf numFmtId="178" fontId="30" fillId="25" borderId="26" xfId="18" applyNumberFormat="1" applyFont="1" applyBorder="1" applyAlignment="1">
      <alignment horizontal="center"/>
    </xf>
    <xf numFmtId="16" fontId="30" fillId="25" borderId="26" xfId="18" applyNumberFormat="1" applyFont="1" applyBorder="1" applyAlignment="1">
      <alignment vertical="center"/>
    </xf>
    <xf numFmtId="0" fontId="30" fillId="25" borderId="26" xfId="18" applyFont="1" applyBorder="1" applyAlignment="1">
      <alignment wrapText="1"/>
    </xf>
    <xf numFmtId="0" fontId="30" fillId="25" borderId="30" xfId="18" applyFont="1" applyBorder="1"/>
    <xf numFmtId="178" fontId="30" fillId="25" borderId="30" xfId="18" applyNumberFormat="1" applyFont="1" applyBorder="1"/>
    <xf numFmtId="0" fontId="30" fillId="25" borderId="32" xfId="18" applyFont="1" applyBorder="1"/>
    <xf numFmtId="0" fontId="30" fillId="25" borderId="38" xfId="18" applyFont="1" applyBorder="1"/>
    <xf numFmtId="178" fontId="30" fillId="25" borderId="38" xfId="18" applyNumberFormat="1" applyFont="1" applyBorder="1"/>
    <xf numFmtId="0" fontId="30" fillId="25" borderId="33" xfId="18" applyFont="1" applyBorder="1"/>
    <xf numFmtId="168" fontId="0" fillId="0" borderId="87" xfId="0" applyNumberFormat="1" applyBorder="1" applyAlignment="1">
      <alignment horizontal="center" vertical="center"/>
    </xf>
    <xf numFmtId="0" fontId="0" fillId="0" borderId="31" xfId="0" applyBorder="1" applyAlignment="1">
      <alignment horizontal="center" vertical="center" wrapText="1"/>
    </xf>
    <xf numFmtId="43" fontId="0" fillId="0" borderId="41" xfId="0" applyNumberFormat="1" applyBorder="1" applyAlignment="1">
      <alignment horizontal="center" vertical="center"/>
    </xf>
    <xf numFmtId="4" fontId="29" fillId="0" borderId="26" xfId="0" applyNumberFormat="1" applyFont="1" applyBorder="1" applyAlignment="1">
      <alignment horizontal="center"/>
    </xf>
    <xf numFmtId="181" fontId="69" fillId="32" borderId="8" xfId="0" applyNumberFormat="1" applyFont="1" applyFill="1" applyBorder="1" applyAlignment="1" applyProtection="1">
      <alignment horizontal="center"/>
    </xf>
    <xf numFmtId="181" fontId="69" fillId="33" borderId="8" xfId="0" applyNumberFormat="1" applyFont="1" applyFill="1" applyBorder="1" applyAlignment="1" applyProtection="1">
      <alignment horizontal="center"/>
    </xf>
    <xf numFmtId="0" fontId="56" fillId="0" borderId="0" xfId="0" applyFont="1" applyAlignment="1">
      <alignment horizontal="center"/>
    </xf>
    <xf numFmtId="0" fontId="3" fillId="0" borderId="26" xfId="5" applyNumberFormat="1" applyFont="1" applyFill="1" applyBorder="1" applyAlignment="1"/>
    <xf numFmtId="0" fontId="3" fillId="0" borderId="26" xfId="18" applyFont="1" applyFill="1" applyBorder="1"/>
    <xf numFmtId="43" fontId="46" fillId="0" borderId="38" xfId="9" applyFont="1" applyBorder="1" applyAlignment="1"/>
    <xf numFmtId="0" fontId="3" fillId="6" borderId="26" xfId="5" applyFont="1" applyFill="1" applyBorder="1"/>
    <xf numFmtId="0" fontId="47" fillId="0" borderId="69" xfId="9" applyNumberFormat="1" applyFont="1" applyFill="1" applyBorder="1"/>
    <xf numFmtId="0" fontId="47" fillId="0" borderId="26" xfId="9" applyNumberFormat="1" applyFont="1" applyFill="1" applyBorder="1"/>
    <xf numFmtId="0" fontId="3" fillId="0" borderId="61" xfId="18" applyFont="1" applyFill="1" applyBorder="1"/>
    <xf numFmtId="0" fontId="3" fillId="0" borderId="48" xfId="18" applyFont="1" applyFill="1" applyBorder="1"/>
    <xf numFmtId="0" fontId="29" fillId="0" borderId="26" xfId="0" applyFont="1" applyFill="1" applyBorder="1" applyAlignment="1">
      <alignment vertical="center"/>
    </xf>
    <xf numFmtId="0" fontId="3" fillId="0" borderId="26" xfId="18" applyFont="1" applyFill="1" applyBorder="1" applyAlignment="1">
      <alignment vertical="center"/>
    </xf>
    <xf numFmtId="43" fontId="47" fillId="0" borderId="26" xfId="9" applyNumberFormat="1" applyFont="1" applyBorder="1" applyAlignment="1">
      <alignment horizontal="center" vertical="center"/>
    </xf>
    <xf numFmtId="43" fontId="46" fillId="0" borderId="92" xfId="9" applyFont="1" applyBorder="1" applyAlignment="1"/>
    <xf numFmtId="43" fontId="46" fillId="0" borderId="93" xfId="9" applyFont="1" applyBorder="1" applyAlignment="1"/>
    <xf numFmtId="43" fontId="50" fillId="0" borderId="94" xfId="9" applyFont="1" applyBorder="1" applyAlignment="1"/>
    <xf numFmtId="43" fontId="47" fillId="20" borderId="81" xfId="9" applyFont="1" applyFill="1" applyBorder="1" applyAlignment="1">
      <alignment horizontal="left"/>
    </xf>
    <xf numFmtId="43" fontId="47" fillId="21" borderId="78" xfId="9" applyFont="1" applyFill="1" applyBorder="1" applyAlignment="1">
      <alignment horizontal="left"/>
    </xf>
    <xf numFmtId="43" fontId="47" fillId="18" borderId="0" xfId="9" applyFont="1" applyFill="1" applyBorder="1" applyAlignment="1">
      <alignment horizontal="left"/>
    </xf>
    <xf numFmtId="43" fontId="3" fillId="0" borderId="61" xfId="18" applyNumberFormat="1" applyFont="1" applyFill="1" applyBorder="1"/>
    <xf numFmtId="43" fontId="46" fillId="0" borderId="33" xfId="9" applyFont="1" applyBorder="1" applyAlignment="1"/>
    <xf numFmtId="0" fontId="58" fillId="0" borderId="32" xfId="0" applyFont="1" applyBorder="1" applyProtection="1">
      <protection locked="0"/>
    </xf>
    <xf numFmtId="0" fontId="58" fillId="0" borderId="38" xfId="0" applyFont="1" applyBorder="1" applyProtection="1">
      <protection locked="0"/>
    </xf>
    <xf numFmtId="0" fontId="58" fillId="0" borderId="33" xfId="0" applyFont="1" applyBorder="1" applyProtection="1">
      <protection locked="0"/>
    </xf>
    <xf numFmtId="43" fontId="15" fillId="0" borderId="0" xfId="9" applyFont="1"/>
    <xf numFmtId="180" fontId="37" fillId="10" borderId="26" xfId="4" applyNumberFormat="1" applyFont="1" applyFill="1" applyBorder="1"/>
    <xf numFmtId="0" fontId="33" fillId="0" borderId="0" xfId="5" applyFont="1"/>
    <xf numFmtId="0" fontId="47" fillId="10" borderId="69" xfId="0" applyFont="1" applyFill="1" applyBorder="1"/>
    <xf numFmtId="164" fontId="47" fillId="10" borderId="26" xfId="0" applyNumberFormat="1" applyFont="1" applyFill="1" applyBorder="1"/>
    <xf numFmtId="165" fontId="28" fillId="10" borderId="26" xfId="7" applyFont="1" applyFill="1" applyBorder="1"/>
    <xf numFmtId="0" fontId="33" fillId="10" borderId="26" xfId="5" applyFont="1" applyFill="1" applyBorder="1"/>
    <xf numFmtId="0" fontId="6" fillId="10" borderId="26" xfId="5" applyFont="1" applyFill="1" applyBorder="1"/>
    <xf numFmtId="165" fontId="6" fillId="10" borderId="26" xfId="7" applyFont="1" applyFill="1" applyBorder="1"/>
    <xf numFmtId="0" fontId="28" fillId="11" borderId="30" xfId="5" applyFont="1" applyFill="1" applyBorder="1"/>
    <xf numFmtId="165" fontId="28" fillId="11" borderId="30" xfId="7" applyFont="1" applyFill="1" applyBorder="1"/>
    <xf numFmtId="0" fontId="37" fillId="10" borderId="72" xfId="5" applyFont="1" applyFill="1" applyBorder="1"/>
    <xf numFmtId="165" fontId="28" fillId="10" borderId="65" xfId="7" applyFont="1" applyFill="1" applyBorder="1"/>
    <xf numFmtId="165" fontId="28" fillId="10" borderId="73" xfId="7" applyFont="1" applyFill="1" applyBorder="1"/>
    <xf numFmtId="165" fontId="28" fillId="10" borderId="70" xfId="7" applyFont="1" applyFill="1" applyBorder="1"/>
    <xf numFmtId="0" fontId="33" fillId="10" borderId="69" xfId="5" applyFont="1" applyFill="1" applyBorder="1"/>
    <xf numFmtId="165" fontId="9" fillId="10" borderId="70" xfId="7" applyFont="1" applyFill="1" applyBorder="1"/>
    <xf numFmtId="0" fontId="33" fillId="10" borderId="69" xfId="5" applyFont="1" applyFill="1" applyBorder="1" applyAlignment="1">
      <alignment vertical="center"/>
    </xf>
    <xf numFmtId="0" fontId="23" fillId="10" borderId="69" xfId="0" applyFont="1" applyFill="1" applyBorder="1"/>
    <xf numFmtId="165" fontId="23" fillId="10" borderId="70" xfId="7" applyFont="1" applyFill="1" applyBorder="1"/>
    <xf numFmtId="0" fontId="32" fillId="10" borderId="69" xfId="5" applyFont="1" applyFill="1" applyBorder="1"/>
    <xf numFmtId="0" fontId="43" fillId="10" borderId="69" xfId="5" applyFont="1" applyFill="1" applyBorder="1"/>
    <xf numFmtId="165" fontId="15" fillId="10" borderId="70" xfId="7" applyFont="1" applyFill="1" applyBorder="1"/>
    <xf numFmtId="0" fontId="34" fillId="10" borderId="69" xfId="5" applyFont="1" applyFill="1" applyBorder="1" applyAlignment="1">
      <alignment vertical="center"/>
    </xf>
    <xf numFmtId="165" fontId="28" fillId="10" borderId="70" xfId="5" applyNumberFormat="1" applyFont="1" applyFill="1" applyBorder="1"/>
    <xf numFmtId="0" fontId="34" fillId="10" borderId="69" xfId="5" applyFont="1" applyFill="1" applyBorder="1"/>
    <xf numFmtId="0" fontId="8" fillId="10" borderId="70" xfId="5" applyFill="1" applyBorder="1"/>
    <xf numFmtId="0" fontId="28" fillId="10" borderId="69" xfId="5" applyFont="1" applyFill="1" applyBorder="1"/>
    <xf numFmtId="43" fontId="28" fillId="10" borderId="70" xfId="9" applyFont="1" applyFill="1" applyBorder="1"/>
    <xf numFmtId="0" fontId="28" fillId="10" borderId="74" xfId="5" applyFont="1" applyFill="1" applyBorder="1"/>
    <xf numFmtId="43" fontId="28" fillId="10" borderId="76" xfId="9" applyFont="1" applyFill="1" applyBorder="1"/>
    <xf numFmtId="165" fontId="6" fillId="10" borderId="26" xfId="7" applyFont="1" applyFill="1" applyBorder="1" applyAlignment="1">
      <alignment horizontal="left"/>
    </xf>
    <xf numFmtId="165" fontId="37" fillId="10" borderId="73" xfId="7" applyFont="1" applyFill="1" applyBorder="1"/>
    <xf numFmtId="165" fontId="33" fillId="10" borderId="70" xfId="7" applyFont="1" applyFill="1" applyBorder="1"/>
    <xf numFmtId="0" fontId="2" fillId="10" borderId="26" xfId="5" applyFont="1" applyFill="1" applyBorder="1"/>
    <xf numFmtId="165" fontId="28" fillId="10" borderId="65" xfId="7" applyFont="1" applyFill="1" applyBorder="1" applyAlignment="1">
      <alignment horizontal="center"/>
    </xf>
    <xf numFmtId="165" fontId="28" fillId="10" borderId="26" xfId="7" applyFont="1" applyFill="1" applyBorder="1" applyAlignment="1">
      <alignment horizontal="center"/>
    </xf>
    <xf numFmtId="0" fontId="2" fillId="10" borderId="26" xfId="5" applyFont="1" applyFill="1" applyBorder="1" applyAlignment="1">
      <alignment horizontal="center"/>
    </xf>
    <xf numFmtId="0" fontId="6" fillId="10" borderId="26" xfId="5" applyFont="1" applyFill="1" applyBorder="1" applyAlignment="1">
      <alignment horizontal="center"/>
    </xf>
    <xf numFmtId="0" fontId="33" fillId="10" borderId="26" xfId="5" applyFont="1" applyFill="1" applyBorder="1" applyAlignment="1">
      <alignment horizontal="center"/>
    </xf>
    <xf numFmtId="165" fontId="6" fillId="10" borderId="26" xfId="7" applyFont="1" applyFill="1" applyBorder="1" applyAlignment="1">
      <alignment horizontal="center"/>
    </xf>
    <xf numFmtId="0" fontId="8" fillId="10" borderId="26" xfId="5" applyFill="1" applyBorder="1" applyAlignment="1">
      <alignment horizontal="center"/>
    </xf>
    <xf numFmtId="0" fontId="28" fillId="10" borderId="26" xfId="5" applyFont="1" applyFill="1" applyBorder="1" applyAlignment="1">
      <alignment horizontal="center"/>
    </xf>
    <xf numFmtId="0" fontId="2" fillId="10" borderId="75" xfId="5" applyFont="1" applyFill="1" applyBorder="1"/>
    <xf numFmtId="0" fontId="2" fillId="10" borderId="26" xfId="5" applyFont="1" applyFill="1" applyBorder="1" applyAlignment="1">
      <alignment horizontal="left"/>
    </xf>
    <xf numFmtId="0" fontId="2" fillId="10" borderId="75" xfId="5" applyFont="1" applyFill="1" applyBorder="1" applyAlignment="1">
      <alignment horizontal="left"/>
    </xf>
    <xf numFmtId="43" fontId="28" fillId="10" borderId="76" xfId="9" applyFont="1" applyFill="1" applyBorder="1" applyAlignment="1">
      <alignment horizontal="right"/>
    </xf>
    <xf numFmtId="0" fontId="64" fillId="2" borderId="29" xfId="0" applyFont="1" applyFill="1" applyBorder="1" applyAlignment="1">
      <alignment horizontal="center" vertical="center"/>
    </xf>
    <xf numFmtId="0" fontId="64" fillId="2" borderId="2" xfId="0" applyFont="1" applyFill="1" applyBorder="1" applyAlignment="1">
      <alignment horizontal="center" vertical="center"/>
    </xf>
    <xf numFmtId="0" fontId="64" fillId="2" borderId="3" xfId="0" applyFont="1" applyFill="1" applyBorder="1" applyAlignment="1">
      <alignment horizontal="center" vertical="center" wrapText="1"/>
    </xf>
    <xf numFmtId="0" fontId="64" fillId="2" borderId="4" xfId="0" applyFont="1" applyFill="1" applyBorder="1" applyAlignment="1">
      <alignment horizontal="center" vertical="center" wrapText="1"/>
    </xf>
    <xf numFmtId="0" fontId="71" fillId="0" borderId="26" xfId="0" applyFont="1" applyBorder="1" applyAlignment="1">
      <alignment horizontal="center"/>
    </xf>
    <xf numFmtId="0" fontId="71" fillId="0" borderId="26" xfId="0" applyFont="1" applyBorder="1" applyAlignment="1">
      <alignment vertical="center"/>
    </xf>
    <xf numFmtId="0" fontId="71" fillId="0" borderId="28" xfId="0" applyFont="1" applyBorder="1" applyAlignment="1">
      <alignment horizontal="center" vertical="center" wrapText="1"/>
    </xf>
    <xf numFmtId="3" fontId="71" fillId="0" borderId="6" xfId="0" applyNumberFormat="1" applyFont="1" applyBorder="1" applyAlignment="1">
      <alignment horizontal="center" vertical="center" wrapText="1"/>
    </xf>
    <xf numFmtId="175" fontId="71" fillId="0" borderId="6" xfId="0" applyNumberFormat="1" applyFont="1" applyBorder="1" applyAlignment="1">
      <alignment horizontal="center" vertical="center" wrapText="1"/>
    </xf>
    <xf numFmtId="168" fontId="71" fillId="0" borderId="8" xfId="0" applyNumberFormat="1" applyFont="1" applyBorder="1" applyAlignment="1">
      <alignment horizontal="center" vertical="center"/>
    </xf>
    <xf numFmtId="4" fontId="71" fillId="0" borderId="0" xfId="0" applyNumberFormat="1" applyFont="1" applyAlignment="1">
      <alignment horizontal="center"/>
    </xf>
    <xf numFmtId="0" fontId="71" fillId="0" borderId="6" xfId="0" applyFont="1" applyBorder="1" applyAlignment="1">
      <alignment horizontal="center" vertical="center" wrapText="1"/>
    </xf>
    <xf numFmtId="4" fontId="71" fillId="0" borderId="6" xfId="0" applyNumberFormat="1" applyFont="1" applyBorder="1" applyAlignment="1">
      <alignment horizontal="center" vertical="center" wrapText="1"/>
    </xf>
    <xf numFmtId="2" fontId="71" fillId="0" borderId="9" xfId="0" applyNumberFormat="1" applyFont="1" applyBorder="1" applyAlignment="1">
      <alignment horizontal="center" vertical="center"/>
    </xf>
    <xf numFmtId="0" fontId="71" fillId="0" borderId="10" xfId="0" applyFont="1" applyBorder="1" applyAlignment="1">
      <alignment vertical="center"/>
    </xf>
    <xf numFmtId="0" fontId="71" fillId="0" borderId="8" xfId="0" applyFont="1" applyBorder="1" applyAlignment="1">
      <alignment horizontal="center" vertical="center" wrapText="1"/>
    </xf>
    <xf numFmtId="3" fontId="71" fillId="0" borderId="8" xfId="0" applyNumberFormat="1" applyFont="1" applyBorder="1" applyAlignment="1">
      <alignment horizontal="center" vertical="center" wrapText="1"/>
    </xf>
    <xf numFmtId="3" fontId="71" fillId="0" borderId="8" xfId="0" applyNumberFormat="1" applyFont="1" applyBorder="1" applyAlignment="1">
      <alignment horizontal="center" vertical="center"/>
    </xf>
    <xf numFmtId="0" fontId="71" fillId="0" borderId="8" xfId="0" applyFont="1" applyBorder="1" applyAlignment="1">
      <alignment horizontal="center" vertical="center"/>
    </xf>
    <xf numFmtId="0" fontId="71" fillId="0" borderId="5" xfId="0" applyFont="1" applyBorder="1" applyAlignment="1">
      <alignment vertical="center"/>
    </xf>
    <xf numFmtId="0" fontId="71" fillId="0" borderId="30" xfId="0" applyFont="1" applyBorder="1" applyAlignment="1">
      <alignment horizontal="center"/>
    </xf>
    <xf numFmtId="0" fontId="71" fillId="0" borderId="30" xfId="0" applyFont="1" applyFill="1" applyBorder="1" applyAlignment="1">
      <alignment vertical="center"/>
    </xf>
    <xf numFmtId="0" fontId="71" fillId="0" borderId="31" xfId="0" applyFont="1" applyBorder="1" applyAlignment="1">
      <alignment horizontal="center" vertical="center" wrapText="1"/>
    </xf>
    <xf numFmtId="3" fontId="71" fillId="0" borderId="21" xfId="0" applyNumberFormat="1" applyFont="1" applyBorder="1" applyAlignment="1">
      <alignment horizontal="center" vertical="center" wrapText="1"/>
    </xf>
    <xf numFmtId="0" fontId="71" fillId="0" borderId="21" xfId="0" applyFont="1" applyBorder="1" applyAlignment="1">
      <alignment horizontal="center" vertical="center" wrapText="1"/>
    </xf>
    <xf numFmtId="2" fontId="71" fillId="0" borderId="35" xfId="0" applyNumberFormat="1" applyFont="1" applyBorder="1" applyAlignment="1">
      <alignment horizontal="center" vertical="center"/>
    </xf>
    <xf numFmtId="3" fontId="71" fillId="0" borderId="55" xfId="0" applyNumberFormat="1" applyFont="1" applyBorder="1" applyAlignment="1">
      <alignment horizontal="center" vertical="center"/>
    </xf>
    <xf numFmtId="175" fontId="71" fillId="0" borderId="28" xfId="0" applyNumberFormat="1" applyFont="1" applyBorder="1" applyAlignment="1">
      <alignment horizontal="center" vertical="center" wrapText="1"/>
    </xf>
    <xf numFmtId="168" fontId="71" fillId="0" borderId="54" xfId="0" applyNumberFormat="1" applyFont="1" applyBorder="1" applyAlignment="1">
      <alignment horizontal="center" vertical="center"/>
    </xf>
    <xf numFmtId="4" fontId="71" fillId="0" borderId="26" xfId="0" applyNumberFormat="1" applyFont="1" applyBorder="1" applyAlignment="1">
      <alignment horizontal="center" vertical="center"/>
    </xf>
    <xf numFmtId="0" fontId="71" fillId="0" borderId="26" xfId="0" applyFont="1" applyBorder="1" applyAlignment="1">
      <alignment horizontal="center" vertical="center"/>
    </xf>
    <xf numFmtId="0" fontId="71" fillId="0" borderId="0" xfId="0" applyFont="1" applyAlignment="1">
      <alignment horizontal="center"/>
    </xf>
    <xf numFmtId="0" fontId="71" fillId="0" borderId="56" xfId="0" applyFont="1" applyBorder="1" applyAlignment="1">
      <alignment horizontal="center" vertical="center" wrapText="1"/>
    </xf>
    <xf numFmtId="2" fontId="71" fillId="0" borderId="30" xfId="0" applyNumberFormat="1" applyFont="1" applyBorder="1" applyAlignment="1">
      <alignment horizontal="center"/>
    </xf>
    <xf numFmtId="0" fontId="71" fillId="0" borderId="0" xfId="0" applyFont="1"/>
    <xf numFmtId="2" fontId="71" fillId="0" borderId="36" xfId="0" applyNumberFormat="1" applyFont="1" applyBorder="1" applyAlignment="1">
      <alignment horizontal="center"/>
    </xf>
    <xf numFmtId="0" fontId="28" fillId="0" borderId="26" xfId="5" applyFont="1" applyFill="1" applyBorder="1" applyAlignment="1">
      <alignment horizontal="center" vertical="center" wrapText="1"/>
    </xf>
    <xf numFmtId="0" fontId="8" fillId="6" borderId="60" xfId="5" applyFill="1" applyBorder="1"/>
    <xf numFmtId="43" fontId="72" fillId="6" borderId="30" xfId="6" applyFont="1" applyFill="1" applyBorder="1" applyAlignment="1"/>
    <xf numFmtId="0" fontId="73" fillId="6" borderId="30" xfId="5" applyFont="1" applyFill="1" applyBorder="1" applyAlignment="1">
      <alignment horizontal="center"/>
    </xf>
    <xf numFmtId="0" fontId="73" fillId="6" borderId="60" xfId="5" applyFont="1" applyFill="1" applyBorder="1" applyAlignment="1">
      <alignment horizontal="center"/>
    </xf>
    <xf numFmtId="0" fontId="28" fillId="6" borderId="30" xfId="5" applyFont="1" applyFill="1" applyBorder="1" applyAlignment="1">
      <alignment horizontal="center"/>
    </xf>
    <xf numFmtId="0" fontId="15" fillId="34" borderId="39" xfId="0" applyFont="1" applyFill="1" applyBorder="1" applyAlignment="1">
      <alignment vertical="center"/>
    </xf>
    <xf numFmtId="43" fontId="1" fillId="25" borderId="26" xfId="9" applyFont="1" applyFill="1" applyBorder="1"/>
    <xf numFmtId="43" fontId="9" fillId="6" borderId="30" xfId="6" applyFont="1" applyFill="1" applyBorder="1" applyAlignment="1"/>
    <xf numFmtId="0" fontId="1" fillId="6" borderId="30" xfId="5" applyFont="1" applyFill="1" applyBorder="1" applyAlignment="1">
      <alignment horizontal="center"/>
    </xf>
    <xf numFmtId="43" fontId="1" fillId="25" borderId="26" xfId="18" applyNumberFormat="1" applyFont="1" applyBorder="1"/>
    <xf numFmtId="0" fontId="28" fillId="6" borderId="60" xfId="5" applyFont="1" applyFill="1" applyBorder="1" applyAlignment="1">
      <alignment horizontal="center"/>
    </xf>
    <xf numFmtId="0" fontId="28" fillId="35" borderId="26" xfId="18" applyFont="1" applyFill="1" applyBorder="1"/>
    <xf numFmtId="0" fontId="0" fillId="0" borderId="0" xfId="0" applyAlignment="1">
      <alignment horizontal="left" wrapText="1"/>
    </xf>
    <xf numFmtId="1" fontId="0" fillId="0" borderId="0" xfId="0" applyNumberFormat="1" applyAlignment="1">
      <alignment horizontal="center"/>
    </xf>
    <xf numFmtId="0" fontId="15" fillId="0" borderId="1" xfId="0" applyFont="1" applyFill="1" applyBorder="1" applyAlignment="1">
      <alignment horizontal="center"/>
    </xf>
    <xf numFmtId="0" fontId="16" fillId="2" borderId="14" xfId="0" applyFont="1" applyFill="1" applyBorder="1" applyAlignment="1">
      <alignment horizontal="center" vertical="center"/>
    </xf>
    <xf numFmtId="0" fontId="16" fillId="0" borderId="38" xfId="0" applyFont="1" applyBorder="1" applyAlignment="1">
      <alignment horizontal="center"/>
    </xf>
    <xf numFmtId="0" fontId="0" fillId="0" borderId="33" xfId="0" applyBorder="1" applyAlignment="1">
      <alignment horizontal="center"/>
    </xf>
    <xf numFmtId="0" fontId="0" fillId="0" borderId="39" xfId="0" applyBorder="1" applyAlignment="1">
      <alignment horizontal="center"/>
    </xf>
    <xf numFmtId="0" fontId="0" fillId="0" borderId="42" xfId="0" applyBorder="1" applyAlignment="1">
      <alignment horizontal="center"/>
    </xf>
    <xf numFmtId="0" fontId="13" fillId="2" borderId="53" xfId="0" applyFont="1" applyFill="1" applyBorder="1" applyAlignment="1">
      <alignment horizontal="center" vertical="center" wrapText="1"/>
    </xf>
    <xf numFmtId="0" fontId="13" fillId="2" borderId="43"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0" fillId="0" borderId="48" xfId="0" applyBorder="1" applyAlignment="1">
      <alignment horizontal="center" wrapText="1"/>
    </xf>
    <xf numFmtId="0" fontId="0" fillId="0" borderId="26" xfId="0" applyBorder="1" applyAlignment="1">
      <alignment horizontal="center" wrapText="1"/>
    </xf>
    <xf numFmtId="0" fontId="0" fillId="0" borderId="26" xfId="0" applyFill="1" applyBorder="1" applyAlignment="1">
      <alignment horizontal="center" wrapText="1"/>
    </xf>
    <xf numFmtId="0" fontId="0" fillId="0" borderId="26" xfId="0" applyBorder="1" applyAlignment="1">
      <alignment horizontal="center"/>
    </xf>
    <xf numFmtId="0" fontId="15" fillId="2" borderId="32" xfId="0" applyFont="1" applyFill="1" applyBorder="1" applyAlignment="1">
      <alignment horizontal="center"/>
    </xf>
    <xf numFmtId="0" fontId="15" fillId="2" borderId="38" xfId="0" applyFont="1" applyFill="1" applyBorder="1" applyAlignment="1">
      <alignment horizontal="center"/>
    </xf>
    <xf numFmtId="0" fontId="15" fillId="2" borderId="33" xfId="0" applyFont="1" applyFill="1" applyBorder="1" applyAlignment="1">
      <alignment horizontal="center"/>
    </xf>
    <xf numFmtId="0" fontId="0" fillId="0" borderId="0" xfId="0" applyAlignment="1">
      <alignment horizontal="left" vertical="top" wrapText="1"/>
    </xf>
    <xf numFmtId="0" fontId="0" fillId="0" borderId="0" xfId="0" applyAlignment="1">
      <alignment horizontal="center"/>
    </xf>
    <xf numFmtId="0" fontId="0" fillId="0" borderId="32" xfId="0" applyBorder="1" applyAlignment="1">
      <alignment horizontal="center"/>
    </xf>
    <xf numFmtId="0" fontId="0" fillId="0" borderId="1" xfId="0" applyFill="1" applyBorder="1" applyAlignment="1">
      <alignment horizontal="center"/>
    </xf>
    <xf numFmtId="0" fontId="15" fillId="2" borderId="84" xfId="0" applyFont="1" applyFill="1" applyBorder="1" applyAlignment="1">
      <alignment horizontal="center"/>
    </xf>
    <xf numFmtId="0" fontId="20" fillId="0" borderId="32" xfId="0" applyFont="1" applyBorder="1" applyAlignment="1">
      <alignment horizontal="center" vertical="center"/>
    </xf>
    <xf numFmtId="0" fontId="20" fillId="0" borderId="38" xfId="0" applyFont="1" applyBorder="1" applyAlignment="1">
      <alignment horizontal="center" vertical="center"/>
    </xf>
    <xf numFmtId="0" fontId="16" fillId="2" borderId="34" xfId="0" applyFont="1" applyFill="1" applyBorder="1" applyAlignment="1">
      <alignment horizontal="center" vertical="center"/>
    </xf>
    <xf numFmtId="0" fontId="16" fillId="2" borderId="20" xfId="0" applyFont="1" applyFill="1" applyBorder="1" applyAlignment="1">
      <alignment horizontal="center" vertical="center"/>
    </xf>
    <xf numFmtId="0" fontId="16" fillId="0" borderId="39" xfId="0" applyFont="1" applyBorder="1" applyAlignment="1">
      <alignment horizontal="center"/>
    </xf>
    <xf numFmtId="0" fontId="15" fillId="2" borderId="14" xfId="0" applyFont="1" applyFill="1" applyBorder="1" applyAlignment="1">
      <alignment horizontal="center"/>
    </xf>
    <xf numFmtId="0" fontId="0" fillId="7" borderId="0" xfId="0" applyFill="1" applyAlignment="1">
      <alignment horizontal="left" vertical="top" wrapText="1"/>
    </xf>
    <xf numFmtId="0" fontId="0" fillId="0" borderId="0" xfId="0" applyFill="1" applyBorder="1" applyAlignment="1">
      <alignment horizontal="center"/>
    </xf>
    <xf numFmtId="0" fontId="64" fillId="0" borderId="32" xfId="0" applyFont="1" applyBorder="1" applyAlignment="1">
      <alignment horizontal="center"/>
    </xf>
    <xf numFmtId="0" fontId="64" fillId="0" borderId="38" xfId="0" applyFont="1" applyBorder="1" applyAlignment="1">
      <alignment horizontal="center"/>
    </xf>
    <xf numFmtId="0" fontId="64" fillId="0" borderId="33" xfId="0" applyFont="1" applyBorder="1" applyAlignment="1">
      <alignment horizontal="center"/>
    </xf>
    <xf numFmtId="0" fontId="71" fillId="0" borderId="32" xfId="0" applyFont="1" applyBorder="1" applyAlignment="1">
      <alignment horizontal="center"/>
    </xf>
    <xf numFmtId="0" fontId="71" fillId="0" borderId="33" xfId="0" applyFont="1" applyBorder="1" applyAlignment="1">
      <alignment horizontal="center"/>
    </xf>
    <xf numFmtId="0" fontId="64" fillId="2" borderId="53" xfId="0" applyFont="1" applyFill="1" applyBorder="1" applyAlignment="1">
      <alignment horizontal="center" vertical="center" wrapText="1"/>
    </xf>
    <xf numFmtId="0" fontId="64" fillId="2" borderId="43" xfId="0" applyFont="1" applyFill="1" applyBorder="1" applyAlignment="1">
      <alignment horizontal="center" vertical="center" wrapText="1"/>
    </xf>
    <xf numFmtId="0" fontId="64" fillId="2" borderId="44" xfId="0" applyFont="1" applyFill="1" applyBorder="1" applyAlignment="1">
      <alignment horizontal="center" vertical="center" wrapText="1"/>
    </xf>
    <xf numFmtId="0" fontId="0" fillId="7" borderId="0" xfId="0" applyFill="1" applyAlignment="1">
      <alignment horizontal="left" vertical="center" wrapText="1"/>
    </xf>
    <xf numFmtId="0" fontId="10" fillId="0" borderId="0" xfId="0" applyFont="1" applyAlignment="1">
      <alignment horizontal="center" wrapText="1"/>
    </xf>
    <xf numFmtId="0" fontId="0" fillId="0" borderId="0" xfId="0" applyAlignment="1">
      <alignment horizontal="left"/>
    </xf>
    <xf numFmtId="167" fontId="15" fillId="0" borderId="8" xfId="1" applyFont="1" applyFill="1" applyBorder="1" applyAlignment="1">
      <alignment horizontal="center"/>
    </xf>
    <xf numFmtId="167" fontId="0" fillId="0" borderId="14" xfId="1" applyFont="1" applyFill="1" applyBorder="1" applyAlignment="1">
      <alignment horizontal="center"/>
    </xf>
    <xf numFmtId="167" fontId="0" fillId="0" borderId="2" xfId="1" applyFont="1" applyFill="1" applyBorder="1" applyAlignment="1">
      <alignment horizontal="center"/>
    </xf>
    <xf numFmtId="0" fontId="27" fillId="0" borderId="32" xfId="0" applyFont="1" applyBorder="1" applyAlignment="1">
      <alignment horizontal="center" vertical="center" wrapText="1"/>
    </xf>
    <xf numFmtId="0" fontId="27" fillId="0" borderId="38"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41" xfId="0" applyFont="1" applyBorder="1" applyAlignment="1">
      <alignment horizontal="center" vertical="center" wrapText="1"/>
    </xf>
    <xf numFmtId="0" fontId="12" fillId="0" borderId="8" xfId="0" applyFont="1" applyFill="1" applyBorder="1" applyAlignment="1">
      <alignment vertical="center"/>
    </xf>
    <xf numFmtId="0" fontId="10" fillId="0" borderId="8" xfId="0" applyFont="1" applyFill="1" applyBorder="1" applyAlignment="1">
      <alignment horizontal="center"/>
    </xf>
    <xf numFmtId="0" fontId="10" fillId="0" borderId="8" xfId="0" applyFont="1" applyFill="1" applyBorder="1" applyAlignment="1">
      <alignment horizontal="center" wrapText="1"/>
    </xf>
    <xf numFmtId="0" fontId="21" fillId="0" borderId="32" xfId="0" applyFont="1" applyBorder="1" applyAlignment="1">
      <alignment horizontal="center" vertical="center"/>
    </xf>
    <xf numFmtId="0" fontId="21" fillId="0" borderId="38" xfId="0" applyFont="1" applyBorder="1" applyAlignment="1">
      <alignment horizontal="center" vertical="center"/>
    </xf>
    <xf numFmtId="0" fontId="21" fillId="0" borderId="33" xfId="0" applyFont="1" applyBorder="1" applyAlignment="1">
      <alignment horizontal="center" vertical="center"/>
    </xf>
    <xf numFmtId="0" fontId="0" fillId="0" borderId="38" xfId="0" applyBorder="1" applyAlignment="1">
      <alignment horizontal="center"/>
    </xf>
    <xf numFmtId="0" fontId="22" fillId="6" borderId="32" xfId="0" applyFont="1" applyFill="1" applyBorder="1" applyAlignment="1">
      <alignment horizontal="center" vertical="center" wrapText="1"/>
    </xf>
    <xf numFmtId="0" fontId="22" fillId="6" borderId="38" xfId="0" applyFont="1" applyFill="1" applyBorder="1" applyAlignment="1">
      <alignment horizontal="center" vertical="center" wrapText="1"/>
    </xf>
    <xf numFmtId="0" fontId="22" fillId="6" borderId="33" xfId="0" applyFont="1" applyFill="1" applyBorder="1" applyAlignment="1">
      <alignment horizontal="center" vertical="center" wrapText="1"/>
    </xf>
    <xf numFmtId="0" fontId="22" fillId="7" borderId="32" xfId="0" applyFont="1" applyFill="1" applyBorder="1" applyAlignment="1">
      <alignment horizontal="center" vertical="center" wrapText="1"/>
    </xf>
    <xf numFmtId="0" fontId="23" fillId="7" borderId="38" xfId="0" applyFont="1" applyFill="1" applyBorder="1" applyAlignment="1">
      <alignment horizontal="center" vertical="center" wrapText="1"/>
    </xf>
    <xf numFmtId="0" fontId="23" fillId="7" borderId="33" xfId="0" applyFont="1" applyFill="1" applyBorder="1" applyAlignment="1">
      <alignment horizontal="center" vertical="center" wrapText="1"/>
    </xf>
    <xf numFmtId="0" fontId="22" fillId="7" borderId="38" xfId="0" applyFont="1" applyFill="1" applyBorder="1" applyAlignment="1">
      <alignment horizontal="center" vertical="center" wrapText="1"/>
    </xf>
    <xf numFmtId="0" fontId="22" fillId="7" borderId="33" xfId="0" applyFont="1" applyFill="1" applyBorder="1" applyAlignment="1">
      <alignment horizontal="center" vertical="center" wrapText="1"/>
    </xf>
    <xf numFmtId="0" fontId="36" fillId="9" borderId="65" xfId="5" applyFont="1" applyFill="1" applyBorder="1" applyAlignment="1">
      <alignment horizontal="center"/>
    </xf>
    <xf numFmtId="0" fontId="36" fillId="9" borderId="66" xfId="5" applyFont="1" applyFill="1" applyBorder="1" applyAlignment="1">
      <alignment horizontal="center"/>
    </xf>
    <xf numFmtId="0" fontId="36" fillId="9" borderId="68" xfId="5" applyFont="1" applyFill="1" applyBorder="1" applyAlignment="1">
      <alignment horizontal="center"/>
    </xf>
    <xf numFmtId="0" fontId="28" fillId="9" borderId="61" xfId="5" applyFont="1" applyFill="1" applyBorder="1" applyAlignment="1">
      <alignment horizontal="center"/>
    </xf>
    <xf numFmtId="0" fontId="28" fillId="9" borderId="62" xfId="5" applyFont="1" applyFill="1" applyBorder="1" applyAlignment="1">
      <alignment horizontal="center"/>
    </xf>
    <xf numFmtId="0" fontId="28" fillId="9" borderId="55" xfId="5" applyFont="1" applyFill="1" applyBorder="1" applyAlignment="1">
      <alignment horizontal="center"/>
    </xf>
    <xf numFmtId="0" fontId="36" fillId="9" borderId="63" xfId="5" applyFont="1" applyFill="1" applyBorder="1" applyAlignment="1">
      <alignment horizontal="center"/>
    </xf>
    <xf numFmtId="0" fontId="36" fillId="9" borderId="67" xfId="5" applyFont="1" applyFill="1" applyBorder="1" applyAlignment="1">
      <alignment horizontal="center"/>
    </xf>
    <xf numFmtId="0" fontId="36" fillId="9" borderId="64" xfId="5" applyFont="1" applyFill="1" applyBorder="1" applyAlignment="1">
      <alignment horizontal="center"/>
    </xf>
    <xf numFmtId="0" fontId="36" fillId="9" borderId="48" xfId="5" applyFont="1" applyFill="1" applyBorder="1" applyAlignment="1">
      <alignment horizontal="center"/>
    </xf>
    <xf numFmtId="0" fontId="36" fillId="9" borderId="64" xfId="5" applyFont="1" applyFill="1" applyBorder="1" applyAlignment="1">
      <alignment horizontal="center" wrapText="1"/>
    </xf>
    <xf numFmtId="0" fontId="36" fillId="9" borderId="48" xfId="5" applyFont="1" applyFill="1" applyBorder="1" applyAlignment="1">
      <alignment horizontal="center" wrapText="1"/>
    </xf>
    <xf numFmtId="0" fontId="28" fillId="0" borderId="32" xfId="5" applyFont="1" applyBorder="1" applyAlignment="1">
      <alignment horizontal="left"/>
    </xf>
    <xf numFmtId="0" fontId="28" fillId="0" borderId="33" xfId="5" applyFont="1" applyBorder="1" applyAlignment="1">
      <alignment horizontal="left"/>
    </xf>
    <xf numFmtId="0" fontId="8" fillId="0" borderId="32" xfId="5" applyBorder="1" applyAlignment="1">
      <alignment horizontal="center"/>
    </xf>
    <xf numFmtId="0" fontId="8" fillId="0" borderId="38" xfId="5" applyBorder="1" applyAlignment="1">
      <alignment horizontal="center"/>
    </xf>
    <xf numFmtId="0" fontId="8" fillId="0" borderId="33" xfId="5" applyBorder="1" applyAlignment="1">
      <alignment horizontal="center"/>
    </xf>
    <xf numFmtId="0" fontId="35" fillId="0" borderId="32" xfId="5" applyFont="1" applyBorder="1" applyAlignment="1">
      <alignment horizontal="center"/>
    </xf>
    <xf numFmtId="0" fontId="35" fillId="0" borderId="38" xfId="5" applyFont="1" applyBorder="1" applyAlignment="1">
      <alignment horizontal="center"/>
    </xf>
    <xf numFmtId="0" fontId="35" fillId="0" borderId="33" xfId="5" applyFont="1" applyBorder="1" applyAlignment="1">
      <alignment horizontal="center"/>
    </xf>
    <xf numFmtId="0" fontId="28" fillId="0" borderId="38" xfId="5" applyFont="1" applyBorder="1" applyAlignment="1">
      <alignment horizontal="left"/>
    </xf>
    <xf numFmtId="14" fontId="28" fillId="0" borderId="32" xfId="5" applyNumberFormat="1" applyFont="1" applyBorder="1" applyAlignment="1">
      <alignment horizontal="center"/>
    </xf>
    <xf numFmtId="0" fontId="28" fillId="0" borderId="33" xfId="5" applyFont="1" applyBorder="1" applyAlignment="1">
      <alignment horizontal="center"/>
    </xf>
    <xf numFmtId="0" fontId="51" fillId="0" borderId="0" xfId="0" applyFont="1" applyBorder="1" applyAlignment="1" applyProtection="1">
      <alignment horizontal="center" wrapText="1"/>
      <protection locked="0"/>
    </xf>
    <xf numFmtId="43" fontId="46" fillId="18" borderId="0" xfId="9" applyFont="1" applyFill="1" applyBorder="1" applyAlignment="1">
      <alignment horizontal="center"/>
    </xf>
    <xf numFmtId="43" fontId="46" fillId="18" borderId="58" xfId="9" applyFont="1" applyFill="1" applyBorder="1" applyAlignment="1">
      <alignment horizontal="center"/>
    </xf>
    <xf numFmtId="43" fontId="46" fillId="16" borderId="32" xfId="9" applyFont="1" applyFill="1" applyBorder="1" applyAlignment="1">
      <alignment horizontal="center"/>
    </xf>
    <xf numFmtId="43" fontId="46" fillId="16" borderId="38" xfId="9" applyFont="1" applyFill="1" applyBorder="1" applyAlignment="1">
      <alignment horizontal="center"/>
    </xf>
    <xf numFmtId="43" fontId="46" fillId="16" borderId="33" xfId="9" applyFont="1" applyFill="1" applyBorder="1" applyAlignment="1">
      <alignment horizontal="center"/>
    </xf>
    <xf numFmtId="43" fontId="46" fillId="20" borderId="81" xfId="9" applyFont="1" applyFill="1" applyBorder="1" applyAlignment="1">
      <alignment horizontal="center"/>
    </xf>
    <xf numFmtId="43" fontId="46" fillId="20" borderId="42" xfId="9" applyFont="1" applyFill="1" applyBorder="1" applyAlignment="1">
      <alignment horizontal="center"/>
    </xf>
    <xf numFmtId="43" fontId="46" fillId="21" borderId="78" xfId="9" applyFont="1" applyFill="1" applyBorder="1" applyAlignment="1">
      <alignment horizontal="center"/>
    </xf>
    <xf numFmtId="43" fontId="46" fillId="21" borderId="79" xfId="9" applyFont="1" applyFill="1" applyBorder="1" applyAlignment="1">
      <alignment horizontal="center"/>
    </xf>
    <xf numFmtId="43" fontId="64" fillId="0" borderId="32" xfId="9" applyFont="1" applyBorder="1" applyAlignment="1">
      <alignment horizontal="center"/>
    </xf>
    <xf numFmtId="43" fontId="46" fillId="0" borderId="38" xfId="9" applyFont="1" applyBorder="1" applyAlignment="1">
      <alignment horizontal="center"/>
    </xf>
    <xf numFmtId="43" fontId="46" fillId="0" borderId="33" xfId="9" applyFont="1" applyBorder="1" applyAlignment="1">
      <alignment horizontal="center"/>
    </xf>
    <xf numFmtId="43" fontId="46" fillId="0" borderId="32" xfId="9" applyFont="1" applyBorder="1" applyAlignment="1">
      <alignment horizontal="left"/>
    </xf>
    <xf numFmtId="43" fontId="46" fillId="0" borderId="33" xfId="9" applyFont="1" applyBorder="1" applyAlignment="1">
      <alignment horizontal="left"/>
    </xf>
    <xf numFmtId="43" fontId="46" fillId="0" borderId="32" xfId="9" applyFont="1" applyBorder="1" applyAlignment="1">
      <alignment horizontal="center"/>
    </xf>
    <xf numFmtId="0" fontId="46" fillId="0" borderId="32" xfId="9" applyNumberFormat="1" applyFont="1" applyBorder="1" applyAlignment="1">
      <alignment horizontal="left"/>
    </xf>
    <xf numFmtId="0" fontId="46" fillId="0" borderId="33" xfId="9" applyNumberFormat="1" applyFont="1" applyBorder="1" applyAlignment="1">
      <alignment horizontal="left"/>
    </xf>
    <xf numFmtId="43" fontId="46" fillId="0" borderId="38" xfId="9" applyFont="1" applyBorder="1" applyAlignment="1">
      <alignment horizontal="left"/>
    </xf>
    <xf numFmtId="43" fontId="47" fillId="0" borderId="32" xfId="9" applyFont="1" applyBorder="1" applyAlignment="1">
      <alignment horizontal="center"/>
    </xf>
    <xf numFmtId="43" fontId="47" fillId="0" borderId="38" xfId="9" applyFont="1" applyBorder="1" applyAlignment="1">
      <alignment horizontal="center"/>
    </xf>
    <xf numFmtId="43" fontId="47" fillId="0" borderId="33" xfId="9" applyFont="1" applyBorder="1" applyAlignment="1">
      <alignment horizontal="center"/>
    </xf>
    <xf numFmtId="43" fontId="46" fillId="17" borderId="69" xfId="9" applyFont="1" applyFill="1" applyBorder="1" applyAlignment="1">
      <alignment horizontal="center"/>
    </xf>
    <xf numFmtId="43" fontId="46" fillId="17" borderId="26" xfId="9" applyFont="1" applyFill="1" applyBorder="1" applyAlignment="1">
      <alignment horizontal="center"/>
    </xf>
    <xf numFmtId="43" fontId="50" fillId="19" borderId="26" xfId="9" applyFont="1" applyFill="1" applyBorder="1" applyAlignment="1">
      <alignment horizontal="center"/>
    </xf>
    <xf numFmtId="43" fontId="49" fillId="19" borderId="26" xfId="9" applyFont="1" applyFill="1" applyBorder="1" applyAlignment="1">
      <alignment horizontal="center"/>
    </xf>
    <xf numFmtId="43" fontId="46" fillId="20" borderId="26" xfId="9" applyFont="1" applyFill="1" applyBorder="1" applyAlignment="1">
      <alignment horizontal="center"/>
    </xf>
    <xf numFmtId="43" fontId="46" fillId="20" borderId="70" xfId="9" applyFont="1" applyFill="1" applyBorder="1" applyAlignment="1">
      <alignment horizontal="center"/>
    </xf>
    <xf numFmtId="43" fontId="47" fillId="20" borderId="39" xfId="9" applyFont="1" applyFill="1" applyBorder="1" applyAlignment="1">
      <alignment horizontal="left"/>
    </xf>
    <xf numFmtId="43" fontId="47" fillId="20" borderId="81" xfId="9" applyFont="1" applyFill="1" applyBorder="1" applyAlignment="1">
      <alignment horizontal="left"/>
    </xf>
    <xf numFmtId="43" fontId="47" fillId="0" borderId="39" xfId="9" applyFont="1" applyBorder="1" applyAlignment="1">
      <alignment horizontal="left"/>
    </xf>
    <xf numFmtId="43" fontId="47" fillId="0" borderId="81" xfId="9" applyFont="1" applyBorder="1" applyAlignment="1">
      <alignment horizontal="left"/>
    </xf>
    <xf numFmtId="43" fontId="47" fillId="21" borderId="77" xfId="9" applyFont="1" applyFill="1" applyBorder="1" applyAlignment="1">
      <alignment horizontal="left"/>
    </xf>
    <xf numFmtId="43" fontId="47" fillId="21" borderId="78" xfId="9" applyFont="1" applyFill="1" applyBorder="1" applyAlignment="1">
      <alignment horizontal="left"/>
    </xf>
    <xf numFmtId="43" fontId="47" fillId="0" borderId="77" xfId="9" applyFont="1" applyBorder="1" applyAlignment="1">
      <alignment horizontal="left"/>
    </xf>
    <xf numFmtId="43" fontId="47" fillId="0" borderId="78" xfId="9" applyFont="1" applyBorder="1" applyAlignment="1">
      <alignment horizontal="left"/>
    </xf>
    <xf numFmtId="43" fontId="47" fillId="18" borderId="80" xfId="9" applyFont="1" applyFill="1" applyBorder="1" applyAlignment="1">
      <alignment horizontal="left"/>
    </xf>
    <xf numFmtId="43" fontId="47" fillId="18" borderId="0" xfId="9" applyFont="1" applyFill="1" applyBorder="1" applyAlignment="1">
      <alignment horizontal="left"/>
    </xf>
    <xf numFmtId="43" fontId="47" fillId="0" borderId="80" xfId="9" applyFont="1" applyBorder="1" applyAlignment="1">
      <alignment horizontal="left"/>
    </xf>
    <xf numFmtId="43" fontId="47" fillId="0" borderId="0" xfId="9" applyFont="1" applyBorder="1" applyAlignment="1">
      <alignment horizontal="left"/>
    </xf>
    <xf numFmtId="0" fontId="59" fillId="0" borderId="89" xfId="0" applyFont="1" applyFill="1" applyBorder="1" applyAlignment="1" applyProtection="1">
      <alignment horizontal="center" vertical="center"/>
      <protection locked="0"/>
    </xf>
    <xf numFmtId="0" fontId="59" fillId="0" borderId="90" xfId="0" applyFont="1" applyFill="1" applyBorder="1" applyAlignment="1" applyProtection="1">
      <alignment horizontal="center" vertical="center"/>
      <protection locked="0"/>
    </xf>
    <xf numFmtId="0" fontId="59" fillId="26" borderId="96" xfId="0" applyFont="1" applyFill="1" applyBorder="1" applyAlignment="1" applyProtection="1">
      <alignment horizontal="center" wrapText="1"/>
      <protection locked="0"/>
    </xf>
    <xf numFmtId="0" fontId="59" fillId="26" borderId="6" xfId="0" applyFont="1" applyFill="1" applyBorder="1" applyAlignment="1" applyProtection="1">
      <alignment horizontal="center" wrapText="1"/>
      <protection locked="0"/>
    </xf>
    <xf numFmtId="0" fontId="57" fillId="0" borderId="32" xfId="0" applyFont="1" applyBorder="1" applyAlignment="1" applyProtection="1">
      <alignment horizontal="center" wrapText="1"/>
      <protection locked="0"/>
    </xf>
    <xf numFmtId="0" fontId="57" fillId="0" borderId="38" xfId="0" applyFont="1" applyBorder="1" applyAlignment="1" applyProtection="1">
      <alignment horizontal="center" wrapText="1"/>
      <protection locked="0"/>
    </xf>
    <xf numFmtId="0" fontId="57" fillId="0" borderId="33" xfId="0" applyFont="1" applyBorder="1" applyAlignment="1" applyProtection="1">
      <alignment horizontal="center" wrapText="1"/>
      <protection locked="0"/>
    </xf>
    <xf numFmtId="0" fontId="0" fillId="0" borderId="0" xfId="0" applyFill="1" applyBorder="1"/>
  </cellXfs>
  <cellStyles count="19">
    <cellStyle name="20% - Énfasis4" xfId="18" builtinId="42"/>
    <cellStyle name="Énfasis4" xfId="17" builtinId="41"/>
    <cellStyle name="Hipervínculo" xfId="10" builtinId="8"/>
    <cellStyle name="Hipervínculo 2" xfId="15"/>
    <cellStyle name="Hipervínculo 3" xfId="16"/>
    <cellStyle name="Millares" xfId="9" builtinId="3"/>
    <cellStyle name="Millares 2" xfId="1"/>
    <cellStyle name="Millares 3" xfId="6"/>
    <cellStyle name="Millares 3 2" xfId="12"/>
    <cellStyle name="Millares 4" xfId="8"/>
    <cellStyle name="Millares 4 2" xfId="14"/>
    <cellStyle name="Moneda" xfId="4" builtinId="4"/>
    <cellStyle name="Moneda 2" xfId="2"/>
    <cellStyle name="Moneda 3" xfId="7"/>
    <cellStyle name="Moneda 3 2" xfId="13"/>
    <cellStyle name="Normal" xfId="0" builtinId="0" customBuiltin="1"/>
    <cellStyle name="Normal 2" xfId="3"/>
    <cellStyle name="Normal 3" xfId="5"/>
    <cellStyle name="Normal 3 2" xfId="11"/>
  </cellStyles>
  <dxfs count="36">
    <dxf>
      <font>
        <b/>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font>
        <b/>
      </font>
      <numFmt numFmtId="35" formatCode="_-* #,##0.00\ _€_-;\-* #,##0.00\ _€_-;_-* &quot;-&quot;??\ _€_-;_-@_-"/>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font>
      <border diagonalUp="0" diagonalDown="0" outline="0">
        <left style="thin">
          <color indexed="64"/>
        </left>
        <right style="thin">
          <color indexed="64"/>
        </right>
        <top style="thin">
          <color indexed="64"/>
        </top>
        <bottom/>
      </border>
    </dxf>
    <dxf>
      <font>
        <b/>
      </font>
      <border diagonalUp="0" diagonalDown="0" outline="0">
        <left style="thin">
          <color indexed="64"/>
        </left>
        <right style="thin">
          <color indexed="64"/>
        </right>
        <top style="thin">
          <color indexed="64"/>
        </top>
        <bottom/>
      </border>
    </dxf>
    <dxf>
      <border outline="0">
        <top style="thin">
          <color indexed="64"/>
        </top>
        <bottom style="medium">
          <color indexed="64"/>
        </bottom>
      </border>
    </dxf>
    <dxf>
      <font>
        <b/>
      </font>
    </dxf>
    <dxf>
      <border outline="0">
        <bottom style="thin">
          <color indexed="64"/>
        </bottom>
      </border>
    </dxf>
    <dxf>
      <font>
        <b/>
      </font>
    </dxf>
    <dxf>
      <font>
        <b/>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numFmt numFmtId="178" formatCode="_(&quot;$&quot;\ * #,##0_);_(&quot;$&quot;\ * \(#,##0\);_(&quot;$&quot;\ * &quot;-&quot;??_);_(@_)"/>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scheme val="minor"/>
      </font>
      <border diagonalUp="0" diagonalDown="0" outline="0">
        <left style="thin">
          <color indexed="64"/>
        </left>
        <right style="thin">
          <color indexed="64"/>
        </right>
        <top style="thin">
          <color indexed="64"/>
        </top>
        <bottom style="thin">
          <color indexed="64"/>
        </bottom>
      </border>
    </dxf>
    <dxf>
      <border outline="0">
        <top style="thin">
          <color indexed="64"/>
        </top>
      </border>
    </dxf>
    <dxf>
      <font>
        <b/>
        <i val="0"/>
        <strike val="0"/>
        <condense val="0"/>
        <extend val="0"/>
        <outline val="0"/>
        <shadow val="0"/>
        <u val="none"/>
        <vertAlign val="baseline"/>
        <sz val="10"/>
        <color theme="1"/>
        <name val="Calibri"/>
        <scheme val="minor"/>
      </font>
    </dxf>
    <dxf>
      <border outline="0">
        <bottom style="thin">
          <color indexed="64"/>
        </bottom>
      </border>
    </dxf>
    <dxf>
      <font>
        <b val="0"/>
        <strike val="0"/>
        <outline val="0"/>
        <shadow val="0"/>
        <u val="none"/>
        <vertAlign val="baseline"/>
        <sz val="10"/>
        <name val="Calibri"/>
        <scheme val="minor"/>
      </font>
    </dxf>
    <dxf>
      <font>
        <b/>
        <i val="0"/>
        <strike val="0"/>
        <condense val="0"/>
        <extend val="0"/>
        <outline val="0"/>
        <shadow val="0"/>
        <u val="none"/>
        <vertAlign val="baseline"/>
        <sz val="11"/>
        <color theme="1"/>
        <name val="Calibri"/>
        <scheme val="minor"/>
      </font>
      <numFmt numFmtId="35" formatCode="_-* #,##0.00\ _€_-;\-* #,##0.00\ _€_-;_-* &quot;-&quot;??\ _€_-;_-@_-"/>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numFmt numFmtId="35" formatCode="_-* #,##0.00\ _€_-;\-* #,##0.00\ _€_-;_-* &quot;-&quot;??\ _€_-;_-@_-"/>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theme="7" tint="0.79998168889431442"/>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rgb="FF000000"/>
        <name val="Calibri"/>
        <scheme val="none"/>
      </font>
      <fill>
        <patternFill patternType="solid">
          <fgColor indexed="64"/>
          <bgColor theme="7" tint="0.79998168889431442"/>
        </patternFill>
      </fill>
      <alignment horizontal="general" vertical="bottom" textRotation="0" wrapText="0" indent="0" justifyLastLine="0" shrinkToFit="0" readingOrder="0"/>
      <border diagonalUp="0" diagonalDown="0">
        <left style="thin">
          <color indexed="64"/>
        </left>
        <right style="thin">
          <color indexed="64"/>
        </right>
        <top style="thin">
          <color indexed="64"/>
        </top>
        <bottom/>
        <vertical/>
        <horizontal/>
      </border>
    </dxf>
    <dxf>
      <fill>
        <patternFill patternType="solid">
          <fgColor indexed="64"/>
          <bgColor theme="7" tint="0.79998168889431442"/>
        </patternFill>
      </fill>
      <border diagonalUp="0" diagonalDown="0">
        <left style="thin">
          <color indexed="64"/>
        </left>
        <right style="thin">
          <color indexed="64"/>
        </right>
        <top style="thin">
          <color indexed="64"/>
        </top>
        <bottom/>
        <vertical/>
        <horizontal/>
      </border>
    </dxf>
    <dxf>
      <fill>
        <patternFill patternType="solid">
          <fgColor indexed="64"/>
          <bgColor theme="7" tint="0.79998168889431442"/>
        </patternFill>
      </fill>
      <border diagonalUp="0" diagonalDown="0">
        <left style="thin">
          <color indexed="64"/>
        </left>
        <right style="thin">
          <color indexed="64"/>
        </right>
        <top style="thin">
          <color indexed="64"/>
        </top>
        <bottom/>
        <vertical/>
        <horizontal/>
      </border>
    </dxf>
    <dxf>
      <border outline="0">
        <top style="thin">
          <color indexed="64"/>
        </top>
        <bottom style="medium">
          <color indexed="64"/>
        </bottom>
      </border>
    </dxf>
    <dxf>
      <border outline="0">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7" tint="0.79998168889431442"/>
        </patternFill>
      </fill>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Calibri"/>
        <scheme val="minor"/>
      </font>
      <numFmt numFmtId="35" formatCode="_-* #,##0.00\ _€_-;\-* #,##0.00\ _€_-;_-* &quot;-&quot;??\ _€_-;_-@_-"/>
      <fill>
        <patternFill patternType="solid">
          <fgColor indexed="64"/>
          <bgColor theme="7" tint="0.79998168889431442"/>
        </patternFill>
      </fill>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Calibri"/>
        <scheme val="minor"/>
      </font>
      <fill>
        <patternFill patternType="solid">
          <fgColor indexed="64"/>
          <bgColor theme="7" tint="0.79998168889431442"/>
        </patternFill>
      </fill>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1"/>
        <color theme="1"/>
        <name val="Calibri"/>
        <scheme val="minor"/>
      </font>
      <fill>
        <patternFill patternType="solid">
          <fgColor indexed="64"/>
          <bgColor theme="7" tint="0.79998168889431442"/>
        </patternFill>
      </fill>
      <border diagonalUp="0" diagonalDown="0">
        <left style="thin">
          <color indexed="64"/>
        </left>
        <right style="thin">
          <color indexed="64"/>
        </right>
        <top style="thin">
          <color indexed="64"/>
        </top>
        <bottom/>
        <vertical/>
        <horizontal/>
      </border>
    </dxf>
    <dxf>
      <border outline="0">
        <top style="thin">
          <color indexed="64"/>
        </top>
        <bottom style="medium">
          <color indexed="64"/>
        </bottom>
      </border>
    </dxf>
    <dxf>
      <font>
        <b/>
        <i val="0"/>
        <strike val="0"/>
        <condense val="0"/>
        <extend val="0"/>
        <outline val="0"/>
        <shadow val="0"/>
        <u val="none"/>
        <vertAlign val="baseline"/>
        <sz val="11"/>
        <color theme="1"/>
        <name val="Calibri"/>
        <scheme val="minor"/>
      </font>
      <fill>
        <patternFill patternType="solid">
          <fgColor indexed="64"/>
          <bgColor theme="7" tint="0.79998168889431442"/>
        </patternFill>
      </fill>
    </dxf>
    <dxf>
      <border outline="0">
        <bottom style="thin">
          <color indexed="64"/>
        </bottom>
      </border>
    </dxf>
  </dxfs>
  <tableStyles count="1" defaultTableStyle="TableStyleMedium2" defaultPivotStyle="PivotStyleLight16">
    <tableStyle name="Estilo de tabla 1" pivot="0" count="0"/>
  </tableStyles>
  <colors>
    <mruColors>
      <color rgb="FF000000"/>
      <color rgb="FFFF66CC"/>
      <color rgb="FF97197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0</xdr:colOff>
      <xdr:row>66</xdr:row>
      <xdr:rowOff>0</xdr:rowOff>
    </xdr:from>
    <xdr:to>
      <xdr:col>14</xdr:col>
      <xdr:colOff>552450</xdr:colOff>
      <xdr:row>83</xdr:row>
      <xdr:rowOff>0</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942" t="21965" r="23940" b="41306"/>
        <a:stretch>
          <a:fillRect/>
        </a:stretch>
      </xdr:blipFill>
      <xdr:spPr bwMode="auto">
        <a:xfrm>
          <a:off x="8820150" y="12573000"/>
          <a:ext cx="5886450" cy="385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392722</xdr:colOff>
      <xdr:row>2</xdr:row>
      <xdr:rowOff>96715</xdr:rowOff>
    </xdr:from>
    <xdr:to>
      <xdr:col>7</xdr:col>
      <xdr:colOff>1114425</xdr:colOff>
      <xdr:row>6</xdr:row>
      <xdr:rowOff>118697</xdr:rowOff>
    </xdr:to>
    <xdr:sp macro="" textlink="">
      <xdr:nvSpPr>
        <xdr:cNvPr id="2" name="1 CuadroTexto"/>
        <xdr:cNvSpPr txBox="1"/>
      </xdr:nvSpPr>
      <xdr:spPr>
        <a:xfrm>
          <a:off x="9993922" y="477715"/>
          <a:ext cx="2150453" cy="783982"/>
        </a:xfrm>
        <a:prstGeom prst="rect">
          <a:avLst/>
        </a:prstGeom>
        <a:ln/>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r>
            <a:rPr lang="es-CO" sz="1100"/>
            <a:t>el costo primo se calculara sumando los materiales directos de cada linea</a:t>
          </a:r>
          <a:r>
            <a:rPr lang="es-CO" sz="1100" baseline="0"/>
            <a:t> mas la mano de obra directa  respectiva a la linea.</a:t>
          </a:r>
          <a:endParaRPr lang="es-CO" sz="1100"/>
        </a:p>
      </xdr:txBody>
    </xdr:sp>
    <xdr:clientData/>
  </xdr:twoCellAnchor>
  <xdr:twoCellAnchor>
    <xdr:from>
      <xdr:col>6</xdr:col>
      <xdr:colOff>21980</xdr:colOff>
      <xdr:row>3</xdr:row>
      <xdr:rowOff>161925</xdr:rowOff>
    </xdr:from>
    <xdr:to>
      <xdr:col>6</xdr:col>
      <xdr:colOff>390525</xdr:colOff>
      <xdr:row>5</xdr:row>
      <xdr:rowOff>66675</xdr:rowOff>
    </xdr:to>
    <xdr:sp macro="" textlink="">
      <xdr:nvSpPr>
        <xdr:cNvPr id="3" name="2 Flecha derecha"/>
        <xdr:cNvSpPr/>
      </xdr:nvSpPr>
      <xdr:spPr>
        <a:xfrm>
          <a:off x="9623180" y="733425"/>
          <a:ext cx="368545" cy="285750"/>
        </a:xfrm>
        <a:prstGeom prst="rightArrow">
          <a:avLst/>
        </a:prstGeom>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1181101</xdr:colOff>
      <xdr:row>33</xdr:row>
      <xdr:rowOff>82793</xdr:rowOff>
    </xdr:from>
    <xdr:to>
      <xdr:col>4</xdr:col>
      <xdr:colOff>628651</xdr:colOff>
      <xdr:row>41</xdr:row>
      <xdr:rowOff>85724</xdr:rowOff>
    </xdr:to>
    <mc:AlternateContent xmlns:mc="http://schemas.openxmlformats.org/markup-compatibility/2006" xmlns:a14="http://schemas.microsoft.com/office/drawing/2010/main">
      <mc:Choice Requires="a14">
        <xdr:sp macro="" textlink="">
          <xdr:nvSpPr>
            <xdr:cNvPr id="4" name="3 CuadroTexto"/>
            <xdr:cNvSpPr txBox="1"/>
          </xdr:nvSpPr>
          <xdr:spPr>
            <a:xfrm>
              <a:off x="3190876" y="6397868"/>
              <a:ext cx="1981200" cy="1526931"/>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t"/>
            <a:lstStyle/>
            <a:p>
              <a:pPr algn="l"/>
              <a:r>
                <a:rPr lang="es-CO" sz="1100"/>
                <a:t>La formula para las tasa de asgnacion es:</a:t>
              </a:r>
              <a:r>
                <a:rPr lang="es-CO" sz="1100" baseline="0"/>
                <a:t> </a:t>
              </a:r>
            </a:p>
            <a:p>
              <a:pPr algn="l"/>
              <a:r>
                <a:rPr lang="es-CO" sz="1100" b="1">
                  <a:solidFill>
                    <a:srgbClr val="0070C0"/>
                  </a:solidFill>
                </a:rPr>
                <a:t>tasa</a:t>
              </a:r>
              <a:r>
                <a:rPr lang="es-CO" sz="1100" b="1" baseline="0">
                  <a:solidFill>
                    <a:srgbClr val="0070C0"/>
                  </a:solidFill>
                </a:rPr>
                <a:t> de asignacion </a:t>
              </a:r>
              <a14:m>
                <m:oMath xmlns:m="http://schemas.openxmlformats.org/officeDocument/2006/math">
                  <m:r>
                    <a:rPr lang="es-CO" sz="1100" b="1" i="1">
                      <a:solidFill>
                        <a:srgbClr val="0070C0"/>
                      </a:solidFill>
                      <a:latin typeface="Cambria Math"/>
                    </a:rPr>
                    <m:t>=</m:t>
                  </m:r>
                  <m:f>
                    <m:fPr>
                      <m:ctrlPr>
                        <a:rPr lang="es-CO" sz="1100" b="1" i="1">
                          <a:solidFill>
                            <a:srgbClr val="0070C0"/>
                          </a:solidFill>
                          <a:latin typeface="Cambria Math"/>
                        </a:rPr>
                      </m:ctrlPr>
                    </m:fPr>
                    <m:num>
                      <m:r>
                        <a:rPr lang="es-ES_tradnl" sz="1100" b="1" i="1">
                          <a:solidFill>
                            <a:srgbClr val="0070C0"/>
                          </a:solidFill>
                          <a:latin typeface="Cambria Math"/>
                        </a:rPr>
                        <m:t>𝑽𝒂𝒍𝒐𝒓</m:t>
                      </m:r>
                      <m:r>
                        <a:rPr lang="es-ES_tradnl" sz="1100" b="1" i="1">
                          <a:solidFill>
                            <a:srgbClr val="0070C0"/>
                          </a:solidFill>
                          <a:latin typeface="Cambria Math"/>
                        </a:rPr>
                        <m:t> </m:t>
                      </m:r>
                      <m:r>
                        <a:rPr lang="es-ES_tradnl" sz="1100" b="1" i="1">
                          <a:solidFill>
                            <a:srgbClr val="0070C0"/>
                          </a:solidFill>
                          <a:latin typeface="Cambria Math"/>
                        </a:rPr>
                        <m:t>𝒅𝒆</m:t>
                      </m:r>
                      <m:r>
                        <a:rPr lang="es-ES_tradnl" sz="1100" b="1" i="1">
                          <a:solidFill>
                            <a:srgbClr val="0070C0"/>
                          </a:solidFill>
                          <a:latin typeface="Cambria Math"/>
                        </a:rPr>
                        <m:t> </m:t>
                      </m:r>
                      <m:r>
                        <a:rPr lang="es-ES_tradnl" sz="1100" b="1" i="1">
                          <a:solidFill>
                            <a:srgbClr val="0070C0"/>
                          </a:solidFill>
                          <a:latin typeface="Cambria Math"/>
                        </a:rPr>
                        <m:t>𝑪𝑰𝑭</m:t>
                      </m:r>
                    </m:num>
                    <m:den>
                      <m:r>
                        <a:rPr lang="es-ES_tradnl" sz="1100" b="1" i="1">
                          <a:solidFill>
                            <a:srgbClr val="0070C0"/>
                          </a:solidFill>
                          <a:latin typeface="Cambria Math"/>
                        </a:rPr>
                        <m:t>𝑩𝒂𝒔𝒆</m:t>
                      </m:r>
                      <m:r>
                        <a:rPr lang="es-ES_tradnl" sz="1100" b="1" i="1">
                          <a:solidFill>
                            <a:srgbClr val="0070C0"/>
                          </a:solidFill>
                          <a:latin typeface="Cambria Math"/>
                        </a:rPr>
                        <m:t> </m:t>
                      </m:r>
                      <m:r>
                        <a:rPr lang="es-ES_tradnl" sz="1100" b="1" i="1">
                          <a:solidFill>
                            <a:srgbClr val="0070C0"/>
                          </a:solidFill>
                          <a:latin typeface="Cambria Math"/>
                        </a:rPr>
                        <m:t>𝒅𝒆𝒂𝒔𝒊𝒏𝒂𝒄𝒊𝒐𝒏</m:t>
                      </m:r>
                    </m:den>
                  </m:f>
                </m:oMath>
              </a14:m>
              <a:endParaRPr lang="es-CO" sz="1100" b="1">
                <a:solidFill>
                  <a:srgbClr val="0070C0"/>
                </a:solidFill>
              </a:endParaRPr>
            </a:p>
            <a:p>
              <a:r>
                <a:rPr lang="es-CO" sz="1100"/>
                <a:t>la</a:t>
              </a:r>
              <a:r>
                <a:rPr lang="es-CO" sz="1100" baseline="0"/>
                <a:t> tasa resultante se multiplica por la base de asignacion de cada departamento  de servicio y/o linea productiva.</a:t>
              </a:r>
              <a:endParaRPr lang="es-CO" sz="1100"/>
            </a:p>
            <a:p>
              <a:endParaRPr lang="es-CO" sz="1100"/>
            </a:p>
          </xdr:txBody>
        </xdr:sp>
      </mc:Choice>
      <mc:Fallback xmlns="">
        <xdr:sp macro="" textlink="">
          <xdr:nvSpPr>
            <xdr:cNvPr id="4" name="3 CuadroTexto"/>
            <xdr:cNvSpPr txBox="1"/>
          </xdr:nvSpPr>
          <xdr:spPr>
            <a:xfrm>
              <a:off x="3190876" y="6397868"/>
              <a:ext cx="1981200" cy="1526931"/>
            </a:xfrm>
            <a:prstGeom prst="rect">
              <a:avLst/>
            </a:prstGeom>
            <a:ln/>
          </xdr:spPr>
          <xdr:style>
            <a:lnRef idx="0">
              <a:schemeClr val="accent3"/>
            </a:lnRef>
            <a:fillRef idx="3">
              <a:schemeClr val="accent3"/>
            </a:fillRef>
            <a:effectRef idx="3">
              <a:schemeClr val="accent3"/>
            </a:effectRef>
            <a:fontRef idx="minor">
              <a:schemeClr val="lt1"/>
            </a:fontRef>
          </xdr:style>
          <xdr:txBody>
            <a:bodyPr vertOverflow="clip" horzOverflow="clip" wrap="square" rtlCol="0" anchor="t"/>
            <a:lstStyle/>
            <a:p>
              <a:pPr algn="l"/>
              <a:r>
                <a:rPr lang="es-CO" sz="1100"/>
                <a:t>La formula para las tasa de asgnacion es:</a:t>
              </a:r>
              <a:r>
                <a:rPr lang="es-CO" sz="1100" baseline="0"/>
                <a:t> </a:t>
              </a:r>
            </a:p>
            <a:p>
              <a:pPr algn="l"/>
              <a:r>
                <a:rPr lang="es-CO" sz="1100" b="1">
                  <a:solidFill>
                    <a:srgbClr val="0070C0"/>
                  </a:solidFill>
                </a:rPr>
                <a:t>tasa</a:t>
              </a:r>
              <a:r>
                <a:rPr lang="es-CO" sz="1100" b="1" baseline="0">
                  <a:solidFill>
                    <a:srgbClr val="0070C0"/>
                  </a:solidFill>
                </a:rPr>
                <a:t> de asignacion </a:t>
              </a:r>
              <a:r>
                <a:rPr lang="es-CO" sz="1100" b="1" i="0">
                  <a:solidFill>
                    <a:srgbClr val="0070C0"/>
                  </a:solidFill>
                  <a:latin typeface="Cambria Math"/>
                </a:rPr>
                <a:t>=(</a:t>
              </a:r>
              <a:r>
                <a:rPr lang="es-ES_tradnl" sz="1100" b="1" i="0">
                  <a:solidFill>
                    <a:srgbClr val="0070C0"/>
                  </a:solidFill>
                  <a:latin typeface="Cambria Math"/>
                </a:rPr>
                <a:t>𝑽𝒂𝒍𝒐𝒓 𝒅𝒆 𝑪𝑰𝑭</a:t>
              </a:r>
              <a:r>
                <a:rPr lang="es-CO" sz="1100" b="1" i="0">
                  <a:solidFill>
                    <a:srgbClr val="0070C0"/>
                  </a:solidFill>
                  <a:latin typeface="Cambria Math"/>
                </a:rPr>
                <a:t>)/(</a:t>
              </a:r>
              <a:r>
                <a:rPr lang="es-ES_tradnl" sz="1100" b="1" i="0">
                  <a:solidFill>
                    <a:srgbClr val="0070C0"/>
                  </a:solidFill>
                  <a:latin typeface="Cambria Math"/>
                </a:rPr>
                <a:t>𝑩𝒂𝒔𝒆 𝒅𝒆𝒂𝒔𝒊𝒏𝒂𝒄𝒊𝒐𝒏</a:t>
              </a:r>
              <a:r>
                <a:rPr lang="es-CO" sz="1100" b="1" i="0">
                  <a:solidFill>
                    <a:srgbClr val="0070C0"/>
                  </a:solidFill>
                  <a:latin typeface="Cambria Math"/>
                </a:rPr>
                <a:t>)</a:t>
              </a:r>
              <a:endParaRPr lang="es-CO" sz="1100" b="1">
                <a:solidFill>
                  <a:srgbClr val="0070C0"/>
                </a:solidFill>
              </a:endParaRPr>
            </a:p>
            <a:p>
              <a:r>
                <a:rPr lang="es-CO" sz="1100"/>
                <a:t>la</a:t>
              </a:r>
              <a:r>
                <a:rPr lang="es-CO" sz="1100" baseline="0"/>
                <a:t> tasa resultante se multiplica por la base de asignacion de cada departamento  de servicio y/o linea productiva.</a:t>
              </a:r>
              <a:endParaRPr lang="es-CO" sz="1100"/>
            </a:p>
            <a:p>
              <a:endParaRPr lang="es-CO" sz="1100"/>
            </a:p>
          </xdr:txBody>
        </xdr:sp>
      </mc:Fallback>
    </mc:AlternateContent>
    <xdr:clientData/>
  </xdr:twoCellAnchor>
  <xdr:twoCellAnchor>
    <xdr:from>
      <xdr:col>3</xdr:col>
      <xdr:colOff>542926</xdr:colOff>
      <xdr:row>30</xdr:row>
      <xdr:rowOff>195629</xdr:rowOff>
    </xdr:from>
    <xdr:to>
      <xdr:col>3</xdr:col>
      <xdr:colOff>933450</xdr:colOff>
      <xdr:row>33</xdr:row>
      <xdr:rowOff>38100</xdr:rowOff>
    </xdr:to>
    <xdr:sp macro="" textlink="">
      <xdr:nvSpPr>
        <xdr:cNvPr id="5" name="4 Flecha abajo"/>
        <xdr:cNvSpPr/>
      </xdr:nvSpPr>
      <xdr:spPr>
        <a:xfrm>
          <a:off x="4953001" y="5739179"/>
          <a:ext cx="390524" cy="423496"/>
        </a:xfrm>
        <a:prstGeom prst="downArrow">
          <a:avLst/>
        </a:prstGeom>
      </xdr:spPr>
      <xdr:style>
        <a:lnRef idx="0">
          <a:schemeClr val="accent3"/>
        </a:lnRef>
        <a:fillRef idx="3">
          <a:schemeClr val="accent3"/>
        </a:fillRef>
        <a:effectRef idx="3">
          <a:schemeClr val="accent3"/>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28575</xdr:colOff>
      <xdr:row>33</xdr:row>
      <xdr:rowOff>57149</xdr:rowOff>
    </xdr:from>
    <xdr:to>
      <xdr:col>2</xdr:col>
      <xdr:colOff>247650</xdr:colOff>
      <xdr:row>41</xdr:row>
      <xdr:rowOff>38101</xdr:rowOff>
    </xdr:to>
    <xdr:sp macro="" textlink="">
      <xdr:nvSpPr>
        <xdr:cNvPr id="6" name="5 CuadroTexto"/>
        <xdr:cNvSpPr txBox="1"/>
      </xdr:nvSpPr>
      <xdr:spPr>
        <a:xfrm>
          <a:off x="28575" y="6181724"/>
          <a:ext cx="3076575" cy="1504952"/>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l"/>
          <a:r>
            <a:rPr lang="es-CO" sz="1100"/>
            <a:t>Los</a:t>
          </a:r>
          <a:r>
            <a:rPr lang="es-CO" sz="1100" baseline="0"/>
            <a:t> departamentos  de servicios ( admon y ventas)son los que suministran apoyo directo a  los departamentos productivos, en el caso de SERNALUMINIOS S.A.S. lineas productivas(aluminio,acero, hierro); por lo tanto, deben ser  asignados a las mismas, una vez esten asignadas se puede calcular la tasa de aplicacion de los costos indirectos para cada linea productiva.</a:t>
          </a:r>
        </a:p>
        <a:p>
          <a:pPr algn="l"/>
          <a:endParaRPr lang="es-CO" sz="1100" baseline="0"/>
        </a:p>
        <a:p>
          <a:endParaRPr lang="es-CO" sz="1100" baseline="0"/>
        </a:p>
        <a:p>
          <a:endParaRPr lang="es-CO" sz="1100" baseline="0"/>
        </a:p>
        <a:p>
          <a:endParaRPr lang="es-CO" sz="1100"/>
        </a:p>
      </xdr:txBody>
    </xdr:sp>
    <xdr:clientData/>
  </xdr:twoCellAnchor>
  <xdr:twoCellAnchor>
    <xdr:from>
      <xdr:col>1</xdr:col>
      <xdr:colOff>1000124</xdr:colOff>
      <xdr:row>31</xdr:row>
      <xdr:rowOff>1</xdr:rowOff>
    </xdr:from>
    <xdr:to>
      <xdr:col>1</xdr:col>
      <xdr:colOff>1409699</xdr:colOff>
      <xdr:row>33</xdr:row>
      <xdr:rowOff>47625</xdr:rowOff>
    </xdr:to>
    <xdr:sp macro="" textlink="">
      <xdr:nvSpPr>
        <xdr:cNvPr id="7" name="6 Flecha abajo"/>
        <xdr:cNvSpPr/>
      </xdr:nvSpPr>
      <xdr:spPr>
        <a:xfrm>
          <a:off x="1352549" y="5743576"/>
          <a:ext cx="409575" cy="428624"/>
        </a:xfrm>
        <a:prstGeom prst="downArrow">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85726</xdr:colOff>
      <xdr:row>65</xdr:row>
      <xdr:rowOff>57149</xdr:rowOff>
    </xdr:from>
    <xdr:to>
      <xdr:col>2</xdr:col>
      <xdr:colOff>638176</xdr:colOff>
      <xdr:row>73</xdr:row>
      <xdr:rowOff>180975</xdr:rowOff>
    </xdr:to>
    <xdr:sp macro="" textlink="">
      <xdr:nvSpPr>
        <xdr:cNvPr id="8" name="7 CuadroTexto"/>
        <xdr:cNvSpPr txBox="1"/>
      </xdr:nvSpPr>
      <xdr:spPr>
        <a:xfrm>
          <a:off x="85726" y="11677649"/>
          <a:ext cx="2562225" cy="1647826"/>
        </a:xfrm>
        <a:prstGeom prst="rect">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t"/>
        <a:lstStyle/>
        <a:p>
          <a:r>
            <a:rPr lang="es-CO" sz="1100"/>
            <a:t>Estas</a:t>
          </a:r>
          <a:r>
            <a:rPr lang="es-CO" sz="1100" baseline="0"/>
            <a:t> tasas(fijas y variables de sus respectivas lineas ) seran las que se llevaran  a la orden de produccion que se realizara para calcular el costo unitario  y total de  la produccion.</a:t>
          </a:r>
        </a:p>
        <a:p>
          <a:r>
            <a:rPr lang="es-CO" sz="1100" baseline="0"/>
            <a:t>Estas tasas se asignaran con base en el costo primo  de cada linea.</a:t>
          </a:r>
          <a:endParaRPr lang="es-CO" sz="1100"/>
        </a:p>
      </xdr:txBody>
    </xdr:sp>
    <xdr:clientData/>
  </xdr:twoCellAnchor>
  <xdr:twoCellAnchor>
    <xdr:from>
      <xdr:col>1</xdr:col>
      <xdr:colOff>1276350</xdr:colOff>
      <xdr:row>63</xdr:row>
      <xdr:rowOff>9525</xdr:rowOff>
    </xdr:from>
    <xdr:to>
      <xdr:col>1</xdr:col>
      <xdr:colOff>1609725</xdr:colOff>
      <xdr:row>65</xdr:row>
      <xdr:rowOff>47625</xdr:rowOff>
    </xdr:to>
    <xdr:sp macro="" textlink="">
      <xdr:nvSpPr>
        <xdr:cNvPr id="9" name="8 Flecha abajo"/>
        <xdr:cNvSpPr/>
      </xdr:nvSpPr>
      <xdr:spPr>
        <a:xfrm>
          <a:off x="1628775" y="10896600"/>
          <a:ext cx="333375" cy="419100"/>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400050</xdr:colOff>
      <xdr:row>6</xdr:row>
      <xdr:rowOff>152400</xdr:rowOff>
    </xdr:from>
    <xdr:to>
      <xdr:col>8</xdr:col>
      <xdr:colOff>495300</xdr:colOff>
      <xdr:row>12</xdr:row>
      <xdr:rowOff>152400</xdr:rowOff>
    </xdr:to>
    <xdr:sp macro="" textlink="">
      <xdr:nvSpPr>
        <xdr:cNvPr id="12" name="11 CuadroTexto"/>
        <xdr:cNvSpPr txBox="1"/>
      </xdr:nvSpPr>
      <xdr:spPr>
        <a:xfrm>
          <a:off x="10001250" y="1295400"/>
          <a:ext cx="3228975" cy="1143000"/>
        </a:xfrm>
        <a:prstGeom prst="rect">
          <a:avLst/>
        </a:prstGeom>
        <a:ln/>
      </xdr:spPr>
      <xdr:style>
        <a:lnRef idx="0">
          <a:schemeClr val="dk1"/>
        </a:lnRef>
        <a:fillRef idx="3">
          <a:schemeClr val="dk1"/>
        </a:fillRef>
        <a:effectRef idx="3">
          <a:schemeClr val="dk1"/>
        </a:effectRef>
        <a:fontRef idx="minor">
          <a:schemeClr val="lt1"/>
        </a:fontRef>
      </xdr:style>
      <xdr:txBody>
        <a:bodyPr vertOverflow="clip" horzOverflow="clip" wrap="square" rtlCol="0" anchor="t"/>
        <a:lstStyle/>
        <a:p>
          <a:r>
            <a:rPr lang="es-CO" sz="1100"/>
            <a:t>en el costo primo de las lineas de aluminio</a:t>
          </a:r>
          <a:r>
            <a:rPr lang="es-CO" sz="1100" baseline="0"/>
            <a:t> y acero se manejan los mismos suministros, lo que se hara aqui para que  no se afecte  uno mas que otro, sera tomar el valor total de los suministros y dividirlo entre dos, para que cada linea sea afectada cincuenta cincuenta.</a:t>
          </a:r>
          <a:endParaRPr lang="es-CO" sz="1100"/>
        </a:p>
      </xdr:txBody>
    </xdr:sp>
    <xdr:clientData/>
  </xdr:twoCellAnchor>
  <xdr:twoCellAnchor>
    <xdr:from>
      <xdr:col>6</xdr:col>
      <xdr:colOff>19050</xdr:colOff>
      <xdr:row>9</xdr:row>
      <xdr:rowOff>9525</xdr:rowOff>
    </xdr:from>
    <xdr:to>
      <xdr:col>6</xdr:col>
      <xdr:colOff>400050</xdr:colOff>
      <xdr:row>10</xdr:row>
      <xdr:rowOff>95250</xdr:rowOff>
    </xdr:to>
    <xdr:sp macro="" textlink="">
      <xdr:nvSpPr>
        <xdr:cNvPr id="15" name="14 Flecha derecha"/>
        <xdr:cNvSpPr/>
      </xdr:nvSpPr>
      <xdr:spPr>
        <a:xfrm>
          <a:off x="9620250" y="1724025"/>
          <a:ext cx="381000" cy="276225"/>
        </a:xfrm>
        <a:prstGeom prst="rightArrow">
          <a:avLst/>
        </a:prstGeom>
      </xdr:spPr>
      <xdr:style>
        <a:lnRef idx="0">
          <a:schemeClr val="dk1"/>
        </a:lnRef>
        <a:fillRef idx="3">
          <a:schemeClr val="dk1"/>
        </a:fillRef>
        <a:effectRef idx="3">
          <a:schemeClr val="dk1"/>
        </a:effectRef>
        <a:fontRef idx="minor">
          <a:schemeClr val="lt1"/>
        </a:fontRef>
      </xdr:style>
      <xdr:txBody>
        <a:bodyPr vertOverflow="clip" horzOverflow="clip" rtlCol="0" anchor="t"/>
        <a:lstStyle/>
        <a:p>
          <a:pPr algn="l"/>
          <a:endParaRPr lang="es-CO" sz="1100"/>
        </a:p>
        <a:p>
          <a:pPr algn="l"/>
          <a:endParaRPr lang="es-CO" sz="1100"/>
        </a:p>
      </xdr:txBody>
    </xdr:sp>
    <xdr:clientData/>
  </xdr:twoCellAnchor>
  <xdr:twoCellAnchor editAs="oneCell">
    <xdr:from>
      <xdr:col>10</xdr:col>
      <xdr:colOff>1319678</xdr:colOff>
      <xdr:row>18</xdr:row>
      <xdr:rowOff>151764</xdr:rowOff>
    </xdr:from>
    <xdr:to>
      <xdr:col>11</xdr:col>
      <xdr:colOff>503622</xdr:colOff>
      <xdr:row>20</xdr:row>
      <xdr:rowOff>65223</xdr:rowOff>
    </xdr:to>
    <xdr:pic>
      <xdr:nvPicPr>
        <xdr:cNvPr id="10" name="9 Imagen"/>
        <xdr:cNvPicPr>
          <a:picLocks noChangeAspect="1"/>
        </xdr:cNvPicPr>
      </xdr:nvPicPr>
      <xdr:blipFill>
        <a:blip xmlns:r="http://schemas.openxmlformats.org/officeDocument/2006/relationships" r:embed="rId1">
          <a:duotone>
            <a:prstClr val="black"/>
            <a:schemeClr val="accent2">
              <a:tint val="45000"/>
              <a:satMod val="400000"/>
            </a:schemeClr>
          </a:duotone>
        </a:blip>
        <a:stretch>
          <a:fillRect/>
        </a:stretch>
      </xdr:blipFill>
      <xdr:spPr>
        <a:xfrm rot="16030668">
          <a:off x="16918820" y="3469272"/>
          <a:ext cx="294459" cy="536494"/>
        </a:xfrm>
        <a:prstGeom prst="rect">
          <a:avLst/>
        </a:prstGeom>
        <a:noFill/>
      </xdr:spPr>
    </xdr:pic>
    <xdr:clientData/>
  </xdr:twoCellAnchor>
  <xdr:twoCellAnchor>
    <xdr:from>
      <xdr:col>11</xdr:col>
      <xdr:colOff>476250</xdr:colOff>
      <xdr:row>15</xdr:row>
      <xdr:rowOff>180975</xdr:rowOff>
    </xdr:from>
    <xdr:to>
      <xdr:col>14</xdr:col>
      <xdr:colOff>200025</xdr:colOff>
      <xdr:row>23</xdr:row>
      <xdr:rowOff>21981</xdr:rowOff>
    </xdr:to>
    <xdr:sp macro="" textlink="">
      <xdr:nvSpPr>
        <xdr:cNvPr id="14" name="13 CuadroTexto"/>
        <xdr:cNvSpPr txBox="1"/>
      </xdr:nvSpPr>
      <xdr:spPr>
        <a:xfrm>
          <a:off x="17306925" y="3048000"/>
          <a:ext cx="3009900" cy="1365006"/>
        </a:xfrm>
        <a:prstGeom prst="rect">
          <a:avLst/>
        </a:prstGeom>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t"/>
        <a:lstStyle/>
        <a:p>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752473</xdr:colOff>
      <xdr:row>5</xdr:row>
      <xdr:rowOff>123826</xdr:rowOff>
    </xdr:from>
    <xdr:to>
      <xdr:col>7</xdr:col>
      <xdr:colOff>200024</xdr:colOff>
      <xdr:row>8</xdr:row>
      <xdr:rowOff>114300</xdr:rowOff>
    </xdr:to>
    <xdr:sp macro="" textlink="">
      <xdr:nvSpPr>
        <xdr:cNvPr id="2" name="1 CuadroTexto"/>
        <xdr:cNvSpPr txBox="1"/>
      </xdr:nvSpPr>
      <xdr:spPr>
        <a:xfrm rot="10800000" flipV="1">
          <a:off x="1514473" y="1123951"/>
          <a:ext cx="4114801" cy="571499"/>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t"/>
        <a:lstStyle/>
        <a:p>
          <a:r>
            <a:rPr lang="es-CO" sz="1100"/>
            <a:t>Debe</a:t>
          </a:r>
          <a:r>
            <a:rPr lang="es-CO" sz="1100" baseline="0"/>
            <a:t> aber una pestaña que despliegue la tres lineas en las que posiblemente sera la obra, es decir ALUMINIO, HIERRO O ACERO</a:t>
          </a:r>
          <a:endParaRPr lang="es-CO" sz="1100"/>
        </a:p>
      </xdr:txBody>
    </xdr:sp>
    <xdr:clientData/>
  </xdr:twoCellAnchor>
  <xdr:twoCellAnchor>
    <xdr:from>
      <xdr:col>0</xdr:col>
      <xdr:colOff>409575</xdr:colOff>
      <xdr:row>7</xdr:row>
      <xdr:rowOff>95250</xdr:rowOff>
    </xdr:from>
    <xdr:to>
      <xdr:col>1</xdr:col>
      <xdr:colOff>666750</xdr:colOff>
      <xdr:row>10</xdr:row>
      <xdr:rowOff>85725</xdr:rowOff>
    </xdr:to>
    <xdr:cxnSp macro="">
      <xdr:nvCxnSpPr>
        <xdr:cNvPr id="3" name="2 Conector recto de flecha"/>
        <xdr:cNvCxnSpPr/>
      </xdr:nvCxnSpPr>
      <xdr:spPr>
        <a:xfrm flipV="1">
          <a:off x="409575" y="1485900"/>
          <a:ext cx="1019175" cy="5810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9524</xdr:colOff>
      <xdr:row>9</xdr:row>
      <xdr:rowOff>144781</xdr:rowOff>
    </xdr:from>
    <xdr:to>
      <xdr:col>9</xdr:col>
      <xdr:colOff>552450</xdr:colOff>
      <xdr:row>16</xdr:row>
      <xdr:rowOff>47625</xdr:rowOff>
    </xdr:to>
    <xdr:sp macro="" textlink="">
      <xdr:nvSpPr>
        <xdr:cNvPr id="4" name="3 CuadroTexto"/>
        <xdr:cNvSpPr txBox="1"/>
      </xdr:nvSpPr>
      <xdr:spPr>
        <a:xfrm>
          <a:off x="3914774" y="1925956"/>
          <a:ext cx="3590926" cy="1322069"/>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s-CO" sz="1100"/>
            <a:t>Cuando</a:t>
          </a:r>
          <a:r>
            <a:rPr lang="es-CO" sz="1100" baseline="0"/>
            <a:t> ya se halla seleccionado la linea en la que se hara la obra(aluminio, hierro, acero), el sistema internamente  permitira ver  en un listado los materiales correspondinetes a la linea seleccionada, para tomar de alli las cantidades necesarias  para la obra, el sistema debera internamente calcular el costo del material requerido </a:t>
          </a:r>
          <a:endParaRPr lang="es-CO" sz="1100"/>
        </a:p>
      </xdr:txBody>
    </xdr:sp>
    <xdr:clientData/>
  </xdr:twoCellAnchor>
  <xdr:twoCellAnchor>
    <xdr:from>
      <xdr:col>3</xdr:col>
      <xdr:colOff>742950</xdr:colOff>
      <xdr:row>10</xdr:row>
      <xdr:rowOff>180975</xdr:rowOff>
    </xdr:from>
    <xdr:to>
      <xdr:col>5</xdr:col>
      <xdr:colOff>0</xdr:colOff>
      <xdr:row>10</xdr:row>
      <xdr:rowOff>180976</xdr:rowOff>
    </xdr:to>
    <xdr:cxnSp macro="">
      <xdr:nvCxnSpPr>
        <xdr:cNvPr id="5" name="4 Conector recto de flecha"/>
        <xdr:cNvCxnSpPr/>
      </xdr:nvCxnSpPr>
      <xdr:spPr>
        <a:xfrm flipV="1">
          <a:off x="3028950" y="2162175"/>
          <a:ext cx="8763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16</xdr:row>
      <xdr:rowOff>200025</xdr:rowOff>
    </xdr:from>
    <xdr:to>
      <xdr:col>9</xdr:col>
      <xdr:colOff>561976</xdr:colOff>
      <xdr:row>20</xdr:row>
      <xdr:rowOff>169544</xdr:rowOff>
    </xdr:to>
    <xdr:sp macro="" textlink="">
      <xdr:nvSpPr>
        <xdr:cNvPr id="6" name="5 CuadroTexto"/>
        <xdr:cNvSpPr txBox="1"/>
      </xdr:nvSpPr>
      <xdr:spPr>
        <a:xfrm>
          <a:off x="3933825" y="3400425"/>
          <a:ext cx="3581401" cy="1112519"/>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s-CO" sz="1100"/>
            <a:t>En esta</a:t>
          </a:r>
          <a:r>
            <a:rPr lang="es-CO" sz="1100" baseline="0"/>
            <a:t> ventana  se desplegara  el listado de suministros o accesorios que se necesitaran para la cualquiera de las tres lineas, el sistema internamente  calculara el valor total de lo que se requirio.</a:t>
          </a:r>
          <a:endParaRPr lang="es-CO" sz="1100"/>
        </a:p>
      </xdr:txBody>
    </xdr:sp>
    <xdr:clientData/>
  </xdr:twoCellAnchor>
  <xdr:twoCellAnchor>
    <xdr:from>
      <xdr:col>3</xdr:col>
      <xdr:colOff>762000</xdr:colOff>
      <xdr:row>16</xdr:row>
      <xdr:rowOff>381000</xdr:rowOff>
    </xdr:from>
    <xdr:to>
      <xdr:col>5</xdr:col>
      <xdr:colOff>19050</xdr:colOff>
      <xdr:row>16</xdr:row>
      <xdr:rowOff>381001</xdr:rowOff>
    </xdr:to>
    <xdr:cxnSp macro="">
      <xdr:nvCxnSpPr>
        <xdr:cNvPr id="7" name="6 Conector recto de flecha"/>
        <xdr:cNvCxnSpPr/>
      </xdr:nvCxnSpPr>
      <xdr:spPr>
        <a:xfrm flipV="1">
          <a:off x="3048000" y="3581400"/>
          <a:ext cx="8763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19050</xdr:colOff>
      <xdr:row>9</xdr:row>
      <xdr:rowOff>180976</xdr:rowOff>
    </xdr:from>
    <xdr:to>
      <xdr:col>15</xdr:col>
      <xdr:colOff>598714</xdr:colOff>
      <xdr:row>15</xdr:row>
      <xdr:rowOff>68036</xdr:rowOff>
    </xdr:to>
    <xdr:sp macro="" textlink="">
      <xdr:nvSpPr>
        <xdr:cNvPr id="8" name="7 CuadroTexto"/>
        <xdr:cNvSpPr txBox="1"/>
      </xdr:nvSpPr>
      <xdr:spPr>
        <a:xfrm>
          <a:off x="10020300" y="1990726"/>
          <a:ext cx="2103664" cy="1111703"/>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s-CO" sz="1100"/>
            <a:t>El</a:t>
          </a:r>
          <a:r>
            <a:rPr lang="es-CO" sz="1100" baseline="0"/>
            <a:t> sistema debera traer el promedio del VHMOD de la nomina seleccionada, para luego multiplicarla por la cantidad de horas de mano de obra directa </a:t>
          </a:r>
          <a:endParaRPr lang="es-CO" sz="1100"/>
        </a:p>
      </xdr:txBody>
    </xdr:sp>
    <xdr:clientData/>
  </xdr:twoCellAnchor>
  <xdr:twoCellAnchor>
    <xdr:from>
      <xdr:col>11</xdr:col>
      <xdr:colOff>466725</xdr:colOff>
      <xdr:row>10</xdr:row>
      <xdr:rowOff>104775</xdr:rowOff>
    </xdr:from>
    <xdr:to>
      <xdr:col>12</xdr:col>
      <xdr:colOff>723900</xdr:colOff>
      <xdr:row>10</xdr:row>
      <xdr:rowOff>104776</xdr:rowOff>
    </xdr:to>
    <xdr:cxnSp macro="">
      <xdr:nvCxnSpPr>
        <xdr:cNvPr id="9" name="8 Conector recto de flecha"/>
        <xdr:cNvCxnSpPr/>
      </xdr:nvCxnSpPr>
      <xdr:spPr>
        <a:xfrm>
          <a:off x="8943975" y="2085975"/>
          <a:ext cx="1019175"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19051</xdr:colOff>
      <xdr:row>16</xdr:row>
      <xdr:rowOff>342899</xdr:rowOff>
    </xdr:from>
    <xdr:to>
      <xdr:col>15</xdr:col>
      <xdr:colOff>68037</xdr:colOff>
      <xdr:row>20</xdr:row>
      <xdr:rowOff>149678</xdr:rowOff>
    </xdr:to>
    <xdr:sp macro="" textlink="">
      <xdr:nvSpPr>
        <xdr:cNvPr id="10" name="9 CuadroTexto"/>
        <xdr:cNvSpPr txBox="1"/>
      </xdr:nvSpPr>
      <xdr:spPr>
        <a:xfrm>
          <a:off x="10020301" y="3581399"/>
          <a:ext cx="1572986" cy="949779"/>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s-CO" sz="1100"/>
            <a:t>El usuario del sistema ingrasara</a:t>
          </a:r>
          <a:r>
            <a:rPr lang="es-CO" sz="1100" baseline="0"/>
            <a:t> la cantidad de horas que se estimen necesarias pra la produccion </a:t>
          </a:r>
          <a:endParaRPr lang="es-CO" sz="1100"/>
        </a:p>
      </xdr:txBody>
    </xdr:sp>
    <xdr:clientData/>
  </xdr:twoCellAnchor>
  <xdr:twoCellAnchor>
    <xdr:from>
      <xdr:col>11</xdr:col>
      <xdr:colOff>609600</xdr:colOff>
      <xdr:row>16</xdr:row>
      <xdr:rowOff>504825</xdr:rowOff>
    </xdr:from>
    <xdr:to>
      <xdr:col>12</xdr:col>
      <xdr:colOff>723900</xdr:colOff>
      <xdr:row>16</xdr:row>
      <xdr:rowOff>504826</xdr:rowOff>
    </xdr:to>
    <xdr:cxnSp macro="">
      <xdr:nvCxnSpPr>
        <xdr:cNvPr id="11" name="10 Conector recto de flecha"/>
        <xdr:cNvCxnSpPr/>
      </xdr:nvCxnSpPr>
      <xdr:spPr>
        <a:xfrm flipV="1">
          <a:off x="9086850" y="3705225"/>
          <a:ext cx="8763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323850</xdr:colOff>
      <xdr:row>10</xdr:row>
      <xdr:rowOff>28575</xdr:rowOff>
    </xdr:from>
    <xdr:to>
      <xdr:col>22</xdr:col>
      <xdr:colOff>342900</xdr:colOff>
      <xdr:row>16</xdr:row>
      <xdr:rowOff>19050</xdr:rowOff>
    </xdr:to>
    <xdr:sp macro="" textlink="">
      <xdr:nvSpPr>
        <xdr:cNvPr id="12" name="11 CuadroTexto"/>
        <xdr:cNvSpPr txBox="1"/>
      </xdr:nvSpPr>
      <xdr:spPr>
        <a:xfrm>
          <a:off x="13373100" y="2009775"/>
          <a:ext cx="3829050" cy="1209675"/>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s-CO" sz="1100"/>
            <a:t>El sistema debera</a:t>
          </a:r>
          <a:r>
            <a:rPr lang="es-CO" sz="1100" baseline="0"/>
            <a:t> </a:t>
          </a:r>
          <a:r>
            <a:rPr lang="es-CO" sz="1100"/>
            <a:t>traer a</a:t>
          </a:r>
          <a:r>
            <a:rPr lang="es-CO" sz="1100" baseline="0"/>
            <a:t> tasa de asignacion ya calculada , de acuerdo a la linea productiva seleccionada (aluminio,hierro, acero).</a:t>
          </a:r>
        </a:p>
        <a:p>
          <a:r>
            <a:rPr lang="es-CO" sz="1100" baseline="0"/>
            <a:t> Elsistema internamente , multirlicara la tasa de  asgnacion  por la base (costo primo   presupuestado de cada obra), el resultado sera el vlor  de los costos indirectos de fabricacion.</a:t>
          </a:r>
          <a:endParaRPr lang="es-CO" sz="1100"/>
        </a:p>
      </xdr:txBody>
    </xdr:sp>
    <xdr:clientData/>
  </xdr:twoCellAnchor>
  <xdr:twoCellAnchor>
    <xdr:from>
      <xdr:col>16</xdr:col>
      <xdr:colOff>247650</xdr:colOff>
      <xdr:row>10</xdr:row>
      <xdr:rowOff>180975</xdr:rowOff>
    </xdr:from>
    <xdr:to>
      <xdr:col>17</xdr:col>
      <xdr:colOff>323850</xdr:colOff>
      <xdr:row>10</xdr:row>
      <xdr:rowOff>200025</xdr:rowOff>
    </xdr:to>
    <xdr:cxnSp macro="">
      <xdr:nvCxnSpPr>
        <xdr:cNvPr id="13" name="12 Conector recto de flecha"/>
        <xdr:cNvCxnSpPr/>
      </xdr:nvCxnSpPr>
      <xdr:spPr>
        <a:xfrm>
          <a:off x="12534900" y="2162175"/>
          <a:ext cx="838200"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367393</xdr:colOff>
      <xdr:row>1</xdr:row>
      <xdr:rowOff>38100</xdr:rowOff>
    </xdr:from>
    <xdr:to>
      <xdr:col>16</xdr:col>
      <xdr:colOff>0</xdr:colOff>
      <xdr:row>7</xdr:row>
      <xdr:rowOff>81643</xdr:rowOff>
    </xdr:to>
    <xdr:sp macro="" textlink="">
      <xdr:nvSpPr>
        <xdr:cNvPr id="15" name="14 CuadroTexto"/>
        <xdr:cNvSpPr txBox="1"/>
      </xdr:nvSpPr>
      <xdr:spPr>
        <a:xfrm>
          <a:off x="11130643" y="242207"/>
          <a:ext cx="1156607" cy="1254579"/>
        </a:xfrm>
        <a:prstGeom prst="rect">
          <a:avLst/>
        </a:prstGeom>
        <a:ln/>
      </xdr:spPr>
      <xdr:style>
        <a:lnRef idx="3">
          <a:schemeClr val="lt1"/>
        </a:lnRef>
        <a:fillRef idx="1">
          <a:schemeClr val="accent3"/>
        </a:fillRef>
        <a:effectRef idx="1">
          <a:schemeClr val="accent3"/>
        </a:effectRef>
        <a:fontRef idx="minor">
          <a:schemeClr val="lt1"/>
        </a:fontRef>
      </xdr:style>
      <xdr:txBody>
        <a:bodyPr vertOverflow="clip" horzOverflow="clip" wrap="square" rtlCol="0" anchor="t"/>
        <a:lstStyle/>
        <a:p>
          <a:r>
            <a:rPr lang="es-ES" sz="1100" b="1">
              <a:solidFill>
                <a:schemeClr val="tx1">
                  <a:lumMod val="95000"/>
                  <a:lumOff val="5000"/>
                </a:schemeClr>
              </a:solidFill>
            </a:rPr>
            <a:t>EL SISTEMA DEBERA LLEVAR UN CONSECUTIVO</a:t>
          </a:r>
          <a:r>
            <a:rPr lang="es-ES" sz="1100" b="1" baseline="0">
              <a:solidFill>
                <a:schemeClr val="tx1">
                  <a:lumMod val="95000"/>
                  <a:lumOff val="5000"/>
                </a:schemeClr>
              </a:solidFill>
            </a:rPr>
            <a:t>  DE ORDENES DE PRODUCCION</a:t>
          </a:r>
          <a:endParaRPr lang="es-ES" sz="1100" b="1">
            <a:solidFill>
              <a:schemeClr val="tx1">
                <a:lumMod val="95000"/>
                <a:lumOff val="5000"/>
              </a:schemeClr>
            </a:solidFill>
          </a:endParaRPr>
        </a:p>
      </xdr:txBody>
    </xdr:sp>
    <xdr:clientData/>
  </xdr:twoCellAnchor>
  <xdr:twoCellAnchor>
    <xdr:from>
      <xdr:col>14</xdr:col>
      <xdr:colOff>85725</xdr:colOff>
      <xdr:row>2</xdr:row>
      <xdr:rowOff>123825</xdr:rowOff>
    </xdr:from>
    <xdr:to>
      <xdr:col>14</xdr:col>
      <xdr:colOff>408214</xdr:colOff>
      <xdr:row>2</xdr:row>
      <xdr:rowOff>136072</xdr:rowOff>
    </xdr:to>
    <xdr:cxnSp macro="">
      <xdr:nvCxnSpPr>
        <xdr:cNvPr id="16" name="15 Conector recto de flecha"/>
        <xdr:cNvCxnSpPr/>
      </xdr:nvCxnSpPr>
      <xdr:spPr>
        <a:xfrm>
          <a:off x="10848975" y="532039"/>
          <a:ext cx="322489" cy="1224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47625</xdr:colOff>
      <xdr:row>0</xdr:row>
      <xdr:rowOff>171450</xdr:rowOff>
    </xdr:from>
    <xdr:to>
      <xdr:col>23</xdr:col>
      <xdr:colOff>733425</xdr:colOff>
      <xdr:row>4</xdr:row>
      <xdr:rowOff>57150</xdr:rowOff>
    </xdr:to>
    <xdr:sp macro="" textlink="">
      <xdr:nvSpPr>
        <xdr:cNvPr id="17" name="16 CuadroTexto"/>
        <xdr:cNvSpPr txBox="1"/>
      </xdr:nvSpPr>
      <xdr:spPr>
        <a:xfrm>
          <a:off x="17668875" y="171450"/>
          <a:ext cx="2971800" cy="685800"/>
        </a:xfrm>
        <a:prstGeom prst="rect">
          <a:avLst/>
        </a:prstGeom>
        <a:ln/>
      </xdr:spPr>
      <xdr:style>
        <a:lnRef idx="1">
          <a:schemeClr val="accent4"/>
        </a:lnRef>
        <a:fillRef idx="3">
          <a:schemeClr val="accent4"/>
        </a:fillRef>
        <a:effectRef idx="2">
          <a:schemeClr val="accent4"/>
        </a:effectRef>
        <a:fontRef idx="minor">
          <a:schemeClr val="lt1"/>
        </a:fontRef>
      </xdr:style>
      <xdr:txBody>
        <a:bodyPr vertOverflow="clip" horzOverflow="clip" wrap="square" rtlCol="0" anchor="t"/>
        <a:lstStyle/>
        <a:p>
          <a:r>
            <a:rPr lang="es-ES" sz="1100" b="1"/>
            <a:t>EN esta</a:t>
          </a:r>
          <a:r>
            <a:rPr lang="es-ES" sz="1100" b="1" baseline="0"/>
            <a:t> ventana el sistema debera  calculara el valor total de la obra, sumando  el total de materiales, de mano de obra, y de CIF</a:t>
          </a:r>
        </a:p>
        <a:p>
          <a:endParaRPr lang="es-ES" sz="1100" b="1"/>
        </a:p>
      </xdr:txBody>
    </xdr:sp>
    <xdr:clientData/>
  </xdr:twoCellAnchor>
  <xdr:twoCellAnchor>
    <xdr:from>
      <xdr:col>19</xdr:col>
      <xdr:colOff>19050</xdr:colOff>
      <xdr:row>2</xdr:row>
      <xdr:rowOff>85725</xdr:rowOff>
    </xdr:from>
    <xdr:to>
      <xdr:col>20</xdr:col>
      <xdr:colOff>114300</xdr:colOff>
      <xdr:row>2</xdr:row>
      <xdr:rowOff>95251</xdr:rowOff>
    </xdr:to>
    <xdr:cxnSp macro="">
      <xdr:nvCxnSpPr>
        <xdr:cNvPr id="18" name="17 Conector recto de flecha"/>
        <xdr:cNvCxnSpPr/>
      </xdr:nvCxnSpPr>
      <xdr:spPr>
        <a:xfrm>
          <a:off x="16878300" y="485775"/>
          <a:ext cx="857250" cy="952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314326</xdr:colOff>
      <xdr:row>4</xdr:row>
      <xdr:rowOff>47625</xdr:rowOff>
    </xdr:from>
    <xdr:to>
      <xdr:col>19</xdr:col>
      <xdr:colOff>409575</xdr:colOff>
      <xdr:row>4</xdr:row>
      <xdr:rowOff>133350</xdr:rowOff>
    </xdr:to>
    <xdr:sp macro="" textlink="">
      <xdr:nvSpPr>
        <xdr:cNvPr id="19" name="18 Elipse"/>
        <xdr:cNvSpPr/>
      </xdr:nvSpPr>
      <xdr:spPr>
        <a:xfrm>
          <a:off x="17173576" y="847725"/>
          <a:ext cx="95249" cy="857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19</xdr:col>
      <xdr:colOff>323850</xdr:colOff>
      <xdr:row>5</xdr:row>
      <xdr:rowOff>47625</xdr:rowOff>
    </xdr:from>
    <xdr:to>
      <xdr:col>19</xdr:col>
      <xdr:colOff>419099</xdr:colOff>
      <xdr:row>5</xdr:row>
      <xdr:rowOff>133350</xdr:rowOff>
    </xdr:to>
    <xdr:sp macro="" textlink="">
      <xdr:nvSpPr>
        <xdr:cNvPr id="20" name="19 Elipse"/>
        <xdr:cNvSpPr/>
      </xdr:nvSpPr>
      <xdr:spPr>
        <a:xfrm>
          <a:off x="17183100" y="1047750"/>
          <a:ext cx="95249" cy="857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20</xdr:col>
      <xdr:colOff>476250</xdr:colOff>
      <xdr:row>5</xdr:row>
      <xdr:rowOff>0</xdr:rowOff>
    </xdr:from>
    <xdr:to>
      <xdr:col>23</xdr:col>
      <xdr:colOff>704850</xdr:colOff>
      <xdr:row>8</xdr:row>
      <xdr:rowOff>19050</xdr:rowOff>
    </xdr:to>
    <xdr:sp macro="" textlink="">
      <xdr:nvSpPr>
        <xdr:cNvPr id="21" name="20 CuadroTexto"/>
        <xdr:cNvSpPr txBox="1"/>
      </xdr:nvSpPr>
      <xdr:spPr>
        <a:xfrm>
          <a:off x="18097500" y="1000125"/>
          <a:ext cx="2514600" cy="600075"/>
        </a:xfrm>
        <a:prstGeom prst="rect">
          <a:avLst/>
        </a:prstGeom>
        <a:ln/>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t"/>
        <a:lstStyle/>
        <a:p>
          <a:r>
            <a:rPr lang="es-ES" sz="1100" b="1"/>
            <a:t>Aqui</a:t>
          </a:r>
          <a:r>
            <a:rPr lang="es-ES" sz="1100" b="1" baseline="0"/>
            <a:t> el sistema debera permitir visualizar y imprimir</a:t>
          </a:r>
          <a:endParaRPr lang="es-ES" sz="1100" b="1"/>
        </a:p>
      </xdr:txBody>
    </xdr:sp>
    <xdr:clientData/>
  </xdr:twoCellAnchor>
  <xdr:twoCellAnchor>
    <xdr:from>
      <xdr:col>19</xdr:col>
      <xdr:colOff>685800</xdr:colOff>
      <xdr:row>4</xdr:row>
      <xdr:rowOff>180975</xdr:rowOff>
    </xdr:from>
    <xdr:to>
      <xdr:col>20</xdr:col>
      <xdr:colOff>447675</xdr:colOff>
      <xdr:row>5</xdr:row>
      <xdr:rowOff>114300</xdr:rowOff>
    </xdr:to>
    <xdr:cxnSp macro="">
      <xdr:nvCxnSpPr>
        <xdr:cNvPr id="22" name="21 Conector recto de flecha"/>
        <xdr:cNvCxnSpPr/>
      </xdr:nvCxnSpPr>
      <xdr:spPr>
        <a:xfrm>
          <a:off x="17545050" y="981075"/>
          <a:ext cx="523875" cy="1333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752473</xdr:colOff>
      <xdr:row>5</xdr:row>
      <xdr:rowOff>123826</xdr:rowOff>
    </xdr:from>
    <xdr:to>
      <xdr:col>7</xdr:col>
      <xdr:colOff>200024</xdr:colOff>
      <xdr:row>8</xdr:row>
      <xdr:rowOff>114300</xdr:rowOff>
    </xdr:to>
    <xdr:sp macro="" textlink="">
      <xdr:nvSpPr>
        <xdr:cNvPr id="2" name="1 CuadroTexto"/>
        <xdr:cNvSpPr txBox="1"/>
      </xdr:nvSpPr>
      <xdr:spPr>
        <a:xfrm rot="10800000" flipV="1">
          <a:off x="1514473" y="1123951"/>
          <a:ext cx="4114801" cy="571499"/>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t"/>
        <a:lstStyle/>
        <a:p>
          <a:r>
            <a:rPr lang="es-CO" sz="1100"/>
            <a:t>Debe</a:t>
          </a:r>
          <a:r>
            <a:rPr lang="es-CO" sz="1100" baseline="0"/>
            <a:t> aber una pestaña que despliegue la tres lineas en las que posiblemente sera la obra, es decir ALUMINIO, HIERRO O ACERO</a:t>
          </a:r>
          <a:endParaRPr lang="es-CO" sz="1100"/>
        </a:p>
      </xdr:txBody>
    </xdr:sp>
    <xdr:clientData/>
  </xdr:twoCellAnchor>
  <xdr:twoCellAnchor>
    <xdr:from>
      <xdr:col>0</xdr:col>
      <xdr:colOff>409575</xdr:colOff>
      <xdr:row>7</xdr:row>
      <xdr:rowOff>95250</xdr:rowOff>
    </xdr:from>
    <xdr:to>
      <xdr:col>1</xdr:col>
      <xdr:colOff>666750</xdr:colOff>
      <xdr:row>10</xdr:row>
      <xdr:rowOff>85725</xdr:rowOff>
    </xdr:to>
    <xdr:cxnSp macro="">
      <xdr:nvCxnSpPr>
        <xdr:cNvPr id="3" name="2 Conector recto de flecha"/>
        <xdr:cNvCxnSpPr/>
      </xdr:nvCxnSpPr>
      <xdr:spPr>
        <a:xfrm flipV="1">
          <a:off x="409575" y="1485900"/>
          <a:ext cx="1019175" cy="5810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9524</xdr:colOff>
      <xdr:row>9</xdr:row>
      <xdr:rowOff>144781</xdr:rowOff>
    </xdr:from>
    <xdr:to>
      <xdr:col>9</xdr:col>
      <xdr:colOff>552450</xdr:colOff>
      <xdr:row>16</xdr:row>
      <xdr:rowOff>47625</xdr:rowOff>
    </xdr:to>
    <xdr:sp macro="" textlink="">
      <xdr:nvSpPr>
        <xdr:cNvPr id="4" name="3 CuadroTexto"/>
        <xdr:cNvSpPr txBox="1"/>
      </xdr:nvSpPr>
      <xdr:spPr>
        <a:xfrm>
          <a:off x="3914774" y="1925956"/>
          <a:ext cx="3590926" cy="1322069"/>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s-CO" sz="1100"/>
            <a:t>Cuando</a:t>
          </a:r>
          <a:r>
            <a:rPr lang="es-CO" sz="1100" baseline="0"/>
            <a:t> ya se halla seleccionado la linea en la que se hara la obra(aluminio, hierro, acero), el sistema internamente  permitira ver  en un listado los materiales correspondinetes a la linea seleccionada, para tomar de alli las cantidades necesarias  para la obra, el sistema debera internamente calcular el costo del material requerido </a:t>
          </a:r>
          <a:endParaRPr lang="es-CO" sz="1100"/>
        </a:p>
      </xdr:txBody>
    </xdr:sp>
    <xdr:clientData/>
  </xdr:twoCellAnchor>
  <xdr:twoCellAnchor>
    <xdr:from>
      <xdr:col>3</xdr:col>
      <xdr:colOff>742950</xdr:colOff>
      <xdr:row>10</xdr:row>
      <xdr:rowOff>180975</xdr:rowOff>
    </xdr:from>
    <xdr:to>
      <xdr:col>5</xdr:col>
      <xdr:colOff>0</xdr:colOff>
      <xdr:row>10</xdr:row>
      <xdr:rowOff>180976</xdr:rowOff>
    </xdr:to>
    <xdr:cxnSp macro="">
      <xdr:nvCxnSpPr>
        <xdr:cNvPr id="5" name="4 Conector recto de flecha"/>
        <xdr:cNvCxnSpPr/>
      </xdr:nvCxnSpPr>
      <xdr:spPr>
        <a:xfrm flipV="1">
          <a:off x="3028950" y="2162175"/>
          <a:ext cx="8763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16</xdr:row>
      <xdr:rowOff>200025</xdr:rowOff>
    </xdr:from>
    <xdr:to>
      <xdr:col>9</xdr:col>
      <xdr:colOff>561976</xdr:colOff>
      <xdr:row>20</xdr:row>
      <xdr:rowOff>169544</xdr:rowOff>
    </xdr:to>
    <xdr:sp macro="" textlink="">
      <xdr:nvSpPr>
        <xdr:cNvPr id="6" name="5 CuadroTexto"/>
        <xdr:cNvSpPr txBox="1"/>
      </xdr:nvSpPr>
      <xdr:spPr>
        <a:xfrm>
          <a:off x="3933825" y="3400425"/>
          <a:ext cx="3581401" cy="1112519"/>
        </a:xfrm>
        <a:prstGeom prst="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wrap="square" rtlCol="0" anchor="t"/>
        <a:lstStyle/>
        <a:p>
          <a:r>
            <a:rPr lang="es-CO" sz="1100"/>
            <a:t>En esta</a:t>
          </a:r>
          <a:r>
            <a:rPr lang="es-CO" sz="1100" baseline="0"/>
            <a:t> ventana  se desplegara  el listado de suministros o accesorios que se necesitaran para la cualquiera de las tres lineas, el sistema internamente  calculara el valor total de lo que se requirio.</a:t>
          </a:r>
          <a:endParaRPr lang="es-CO" sz="1100"/>
        </a:p>
      </xdr:txBody>
    </xdr:sp>
    <xdr:clientData/>
  </xdr:twoCellAnchor>
  <xdr:twoCellAnchor>
    <xdr:from>
      <xdr:col>3</xdr:col>
      <xdr:colOff>762000</xdr:colOff>
      <xdr:row>16</xdr:row>
      <xdr:rowOff>381000</xdr:rowOff>
    </xdr:from>
    <xdr:to>
      <xdr:col>5</xdr:col>
      <xdr:colOff>19050</xdr:colOff>
      <xdr:row>16</xdr:row>
      <xdr:rowOff>381001</xdr:rowOff>
    </xdr:to>
    <xdr:cxnSp macro="">
      <xdr:nvCxnSpPr>
        <xdr:cNvPr id="7" name="6 Conector recto de flecha"/>
        <xdr:cNvCxnSpPr/>
      </xdr:nvCxnSpPr>
      <xdr:spPr>
        <a:xfrm flipV="1">
          <a:off x="3048000" y="3581400"/>
          <a:ext cx="8763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19050</xdr:colOff>
      <xdr:row>9</xdr:row>
      <xdr:rowOff>180976</xdr:rowOff>
    </xdr:from>
    <xdr:to>
      <xdr:col>15</xdr:col>
      <xdr:colOff>598714</xdr:colOff>
      <xdr:row>15</xdr:row>
      <xdr:rowOff>68036</xdr:rowOff>
    </xdr:to>
    <xdr:sp macro="" textlink="">
      <xdr:nvSpPr>
        <xdr:cNvPr id="8" name="7 CuadroTexto"/>
        <xdr:cNvSpPr txBox="1"/>
      </xdr:nvSpPr>
      <xdr:spPr>
        <a:xfrm>
          <a:off x="10020300" y="1962151"/>
          <a:ext cx="2103664" cy="110626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s-CO" sz="1100"/>
            <a:t>El</a:t>
          </a:r>
          <a:r>
            <a:rPr lang="es-CO" sz="1100" baseline="0"/>
            <a:t> sistema debera traer el promedio del VHMOD de la nomina seleccionada, para luego multiplicarla por la cantidad de horas de mano de obra directa </a:t>
          </a:r>
          <a:endParaRPr lang="es-CO" sz="1100"/>
        </a:p>
      </xdr:txBody>
    </xdr:sp>
    <xdr:clientData/>
  </xdr:twoCellAnchor>
  <xdr:twoCellAnchor>
    <xdr:from>
      <xdr:col>11</xdr:col>
      <xdr:colOff>466725</xdr:colOff>
      <xdr:row>10</xdr:row>
      <xdr:rowOff>104775</xdr:rowOff>
    </xdr:from>
    <xdr:to>
      <xdr:col>12</xdr:col>
      <xdr:colOff>723900</xdr:colOff>
      <xdr:row>10</xdr:row>
      <xdr:rowOff>104776</xdr:rowOff>
    </xdr:to>
    <xdr:cxnSp macro="">
      <xdr:nvCxnSpPr>
        <xdr:cNvPr id="9" name="8 Conector recto de flecha"/>
        <xdr:cNvCxnSpPr/>
      </xdr:nvCxnSpPr>
      <xdr:spPr>
        <a:xfrm>
          <a:off x="8943975" y="2085975"/>
          <a:ext cx="1019175"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19051</xdr:colOff>
      <xdr:row>16</xdr:row>
      <xdr:rowOff>342899</xdr:rowOff>
    </xdr:from>
    <xdr:to>
      <xdr:col>15</xdr:col>
      <xdr:colOff>68037</xdr:colOff>
      <xdr:row>20</xdr:row>
      <xdr:rowOff>149678</xdr:rowOff>
    </xdr:to>
    <xdr:sp macro="" textlink="">
      <xdr:nvSpPr>
        <xdr:cNvPr id="10" name="9 CuadroTexto"/>
        <xdr:cNvSpPr txBox="1"/>
      </xdr:nvSpPr>
      <xdr:spPr>
        <a:xfrm>
          <a:off x="10020301" y="3543299"/>
          <a:ext cx="1572986" cy="949779"/>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lang="es-CO" sz="1100"/>
            <a:t>El usuario del sistema ingrasara</a:t>
          </a:r>
          <a:r>
            <a:rPr lang="es-CO" sz="1100" baseline="0"/>
            <a:t> la cantidad de horas que se estimen necesarias pra la produccion </a:t>
          </a:r>
          <a:endParaRPr lang="es-CO" sz="1100"/>
        </a:p>
      </xdr:txBody>
    </xdr:sp>
    <xdr:clientData/>
  </xdr:twoCellAnchor>
  <xdr:twoCellAnchor>
    <xdr:from>
      <xdr:col>11</xdr:col>
      <xdr:colOff>609600</xdr:colOff>
      <xdr:row>16</xdr:row>
      <xdr:rowOff>504825</xdr:rowOff>
    </xdr:from>
    <xdr:to>
      <xdr:col>12</xdr:col>
      <xdr:colOff>723900</xdr:colOff>
      <xdr:row>16</xdr:row>
      <xdr:rowOff>504826</xdr:rowOff>
    </xdr:to>
    <xdr:cxnSp macro="">
      <xdr:nvCxnSpPr>
        <xdr:cNvPr id="11" name="10 Conector recto de flecha"/>
        <xdr:cNvCxnSpPr/>
      </xdr:nvCxnSpPr>
      <xdr:spPr>
        <a:xfrm flipV="1">
          <a:off x="9086850" y="3705225"/>
          <a:ext cx="876300" cy="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323850</xdr:colOff>
      <xdr:row>10</xdr:row>
      <xdr:rowOff>28575</xdr:rowOff>
    </xdr:from>
    <xdr:to>
      <xdr:col>22</xdr:col>
      <xdr:colOff>342900</xdr:colOff>
      <xdr:row>16</xdr:row>
      <xdr:rowOff>19050</xdr:rowOff>
    </xdr:to>
    <xdr:sp macro="" textlink="">
      <xdr:nvSpPr>
        <xdr:cNvPr id="12" name="11 CuadroTexto"/>
        <xdr:cNvSpPr txBox="1"/>
      </xdr:nvSpPr>
      <xdr:spPr>
        <a:xfrm>
          <a:off x="13373100" y="2009775"/>
          <a:ext cx="3829050" cy="1209675"/>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s-CO" sz="1100"/>
            <a:t>El sistema debera</a:t>
          </a:r>
          <a:r>
            <a:rPr lang="es-CO" sz="1100" baseline="0"/>
            <a:t> </a:t>
          </a:r>
          <a:r>
            <a:rPr lang="es-CO" sz="1100"/>
            <a:t>traer a</a:t>
          </a:r>
          <a:r>
            <a:rPr lang="es-CO" sz="1100" baseline="0"/>
            <a:t> tasa de asignacion ya calculada , de acuerdo a la linea productiva seleccionada (aluminio,hierro, acero).</a:t>
          </a:r>
        </a:p>
        <a:p>
          <a:r>
            <a:rPr lang="es-CO" sz="1100" baseline="0"/>
            <a:t> Elsistema internamente , multirlicara la tasa de  asgnacion  por la base (costo primo   presupuestado de cada obra), el resultado sera el vlor  de los costos indirectos de fabricacion.</a:t>
          </a:r>
          <a:endParaRPr lang="es-CO" sz="1100"/>
        </a:p>
      </xdr:txBody>
    </xdr:sp>
    <xdr:clientData/>
  </xdr:twoCellAnchor>
  <xdr:twoCellAnchor>
    <xdr:from>
      <xdr:col>16</xdr:col>
      <xdr:colOff>247650</xdr:colOff>
      <xdr:row>10</xdr:row>
      <xdr:rowOff>180975</xdr:rowOff>
    </xdr:from>
    <xdr:to>
      <xdr:col>17</xdr:col>
      <xdr:colOff>323850</xdr:colOff>
      <xdr:row>10</xdr:row>
      <xdr:rowOff>200025</xdr:rowOff>
    </xdr:to>
    <xdr:cxnSp macro="">
      <xdr:nvCxnSpPr>
        <xdr:cNvPr id="13" name="12 Conector recto de flecha"/>
        <xdr:cNvCxnSpPr/>
      </xdr:nvCxnSpPr>
      <xdr:spPr>
        <a:xfrm>
          <a:off x="12534900" y="2162175"/>
          <a:ext cx="838200"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367393</xdr:colOff>
      <xdr:row>1</xdr:row>
      <xdr:rowOff>38100</xdr:rowOff>
    </xdr:from>
    <xdr:to>
      <xdr:col>16</xdr:col>
      <xdr:colOff>0</xdr:colOff>
      <xdr:row>7</xdr:row>
      <xdr:rowOff>81643</xdr:rowOff>
    </xdr:to>
    <xdr:sp macro="" textlink="">
      <xdr:nvSpPr>
        <xdr:cNvPr id="14" name="13 CuadroTexto"/>
        <xdr:cNvSpPr txBox="1"/>
      </xdr:nvSpPr>
      <xdr:spPr>
        <a:xfrm>
          <a:off x="11130643" y="238125"/>
          <a:ext cx="1156607" cy="1234168"/>
        </a:xfrm>
        <a:prstGeom prst="rect">
          <a:avLst/>
        </a:prstGeom>
        <a:ln/>
      </xdr:spPr>
      <xdr:style>
        <a:lnRef idx="3">
          <a:schemeClr val="lt1"/>
        </a:lnRef>
        <a:fillRef idx="1">
          <a:schemeClr val="accent3"/>
        </a:fillRef>
        <a:effectRef idx="1">
          <a:schemeClr val="accent3"/>
        </a:effectRef>
        <a:fontRef idx="minor">
          <a:schemeClr val="lt1"/>
        </a:fontRef>
      </xdr:style>
      <xdr:txBody>
        <a:bodyPr vertOverflow="clip" horzOverflow="clip" wrap="square" rtlCol="0" anchor="t"/>
        <a:lstStyle/>
        <a:p>
          <a:r>
            <a:rPr lang="es-ES" sz="1100" b="1">
              <a:solidFill>
                <a:schemeClr val="tx1">
                  <a:lumMod val="95000"/>
                  <a:lumOff val="5000"/>
                </a:schemeClr>
              </a:solidFill>
            </a:rPr>
            <a:t>EL SISTEMA DEBERA LLEVAR UN CONSECUTIVO</a:t>
          </a:r>
          <a:r>
            <a:rPr lang="es-ES" sz="1100" b="1" baseline="0">
              <a:solidFill>
                <a:schemeClr val="tx1">
                  <a:lumMod val="95000"/>
                  <a:lumOff val="5000"/>
                </a:schemeClr>
              </a:solidFill>
            </a:rPr>
            <a:t>  DE ORDENES DE PRODUCCION</a:t>
          </a:r>
          <a:endParaRPr lang="es-ES" sz="1100" b="1">
            <a:solidFill>
              <a:schemeClr val="tx1">
                <a:lumMod val="95000"/>
                <a:lumOff val="5000"/>
              </a:schemeClr>
            </a:solidFill>
          </a:endParaRPr>
        </a:p>
      </xdr:txBody>
    </xdr:sp>
    <xdr:clientData/>
  </xdr:twoCellAnchor>
  <xdr:twoCellAnchor>
    <xdr:from>
      <xdr:col>14</xdr:col>
      <xdr:colOff>85725</xdr:colOff>
      <xdr:row>2</xdr:row>
      <xdr:rowOff>123825</xdr:rowOff>
    </xdr:from>
    <xdr:to>
      <xdr:col>14</xdr:col>
      <xdr:colOff>408214</xdr:colOff>
      <xdr:row>2</xdr:row>
      <xdr:rowOff>136072</xdr:rowOff>
    </xdr:to>
    <xdr:cxnSp macro="">
      <xdr:nvCxnSpPr>
        <xdr:cNvPr id="15" name="14 Conector recto de flecha"/>
        <xdr:cNvCxnSpPr/>
      </xdr:nvCxnSpPr>
      <xdr:spPr>
        <a:xfrm>
          <a:off x="10848975" y="523875"/>
          <a:ext cx="322489" cy="1224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47625</xdr:colOff>
      <xdr:row>0</xdr:row>
      <xdr:rowOff>171450</xdr:rowOff>
    </xdr:from>
    <xdr:to>
      <xdr:col>23</xdr:col>
      <xdr:colOff>733425</xdr:colOff>
      <xdr:row>4</xdr:row>
      <xdr:rowOff>57150</xdr:rowOff>
    </xdr:to>
    <xdr:sp macro="" textlink="">
      <xdr:nvSpPr>
        <xdr:cNvPr id="16" name="15 CuadroTexto"/>
        <xdr:cNvSpPr txBox="1"/>
      </xdr:nvSpPr>
      <xdr:spPr>
        <a:xfrm>
          <a:off x="15382875" y="171450"/>
          <a:ext cx="2971800" cy="685800"/>
        </a:xfrm>
        <a:prstGeom prst="rect">
          <a:avLst/>
        </a:prstGeom>
        <a:ln/>
      </xdr:spPr>
      <xdr:style>
        <a:lnRef idx="1">
          <a:schemeClr val="accent4"/>
        </a:lnRef>
        <a:fillRef idx="3">
          <a:schemeClr val="accent4"/>
        </a:fillRef>
        <a:effectRef idx="2">
          <a:schemeClr val="accent4"/>
        </a:effectRef>
        <a:fontRef idx="minor">
          <a:schemeClr val="lt1"/>
        </a:fontRef>
      </xdr:style>
      <xdr:txBody>
        <a:bodyPr vertOverflow="clip" horzOverflow="clip" wrap="square" rtlCol="0" anchor="t"/>
        <a:lstStyle/>
        <a:p>
          <a:r>
            <a:rPr lang="es-ES" sz="1100" b="1"/>
            <a:t>EN esta</a:t>
          </a:r>
          <a:r>
            <a:rPr lang="es-ES" sz="1100" b="1" baseline="0"/>
            <a:t> ventana el sistema debera  calculara el valor total de la obra, sumando  el total de materiales, de mano de obra, y de CIF</a:t>
          </a:r>
        </a:p>
        <a:p>
          <a:endParaRPr lang="es-ES" sz="1100" b="1"/>
        </a:p>
      </xdr:txBody>
    </xdr:sp>
    <xdr:clientData/>
  </xdr:twoCellAnchor>
  <xdr:twoCellAnchor>
    <xdr:from>
      <xdr:col>19</xdr:col>
      <xdr:colOff>19050</xdr:colOff>
      <xdr:row>2</xdr:row>
      <xdr:rowOff>85725</xdr:rowOff>
    </xdr:from>
    <xdr:to>
      <xdr:col>20</xdr:col>
      <xdr:colOff>114300</xdr:colOff>
      <xdr:row>2</xdr:row>
      <xdr:rowOff>95251</xdr:rowOff>
    </xdr:to>
    <xdr:cxnSp macro="">
      <xdr:nvCxnSpPr>
        <xdr:cNvPr id="17" name="16 Conector recto de flecha"/>
        <xdr:cNvCxnSpPr/>
      </xdr:nvCxnSpPr>
      <xdr:spPr>
        <a:xfrm>
          <a:off x="14592300" y="485775"/>
          <a:ext cx="857250" cy="952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314326</xdr:colOff>
      <xdr:row>4</xdr:row>
      <xdr:rowOff>47625</xdr:rowOff>
    </xdr:from>
    <xdr:to>
      <xdr:col>19</xdr:col>
      <xdr:colOff>409575</xdr:colOff>
      <xdr:row>4</xdr:row>
      <xdr:rowOff>133350</xdr:rowOff>
    </xdr:to>
    <xdr:sp macro="" textlink="">
      <xdr:nvSpPr>
        <xdr:cNvPr id="18" name="17 Elipse"/>
        <xdr:cNvSpPr/>
      </xdr:nvSpPr>
      <xdr:spPr>
        <a:xfrm>
          <a:off x="14887576" y="847725"/>
          <a:ext cx="95249" cy="857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19</xdr:col>
      <xdr:colOff>323850</xdr:colOff>
      <xdr:row>5</xdr:row>
      <xdr:rowOff>47625</xdr:rowOff>
    </xdr:from>
    <xdr:to>
      <xdr:col>19</xdr:col>
      <xdr:colOff>419099</xdr:colOff>
      <xdr:row>5</xdr:row>
      <xdr:rowOff>133350</xdr:rowOff>
    </xdr:to>
    <xdr:sp macro="" textlink="">
      <xdr:nvSpPr>
        <xdr:cNvPr id="19" name="18 Elipse"/>
        <xdr:cNvSpPr/>
      </xdr:nvSpPr>
      <xdr:spPr>
        <a:xfrm>
          <a:off x="14897100" y="1047750"/>
          <a:ext cx="95249" cy="857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20</xdr:col>
      <xdr:colOff>476250</xdr:colOff>
      <xdr:row>5</xdr:row>
      <xdr:rowOff>0</xdr:rowOff>
    </xdr:from>
    <xdr:to>
      <xdr:col>23</xdr:col>
      <xdr:colOff>704850</xdr:colOff>
      <xdr:row>8</xdr:row>
      <xdr:rowOff>19050</xdr:rowOff>
    </xdr:to>
    <xdr:sp macro="" textlink="">
      <xdr:nvSpPr>
        <xdr:cNvPr id="20" name="19 CuadroTexto"/>
        <xdr:cNvSpPr txBox="1"/>
      </xdr:nvSpPr>
      <xdr:spPr>
        <a:xfrm>
          <a:off x="15811500" y="1000125"/>
          <a:ext cx="2514600" cy="600075"/>
        </a:xfrm>
        <a:prstGeom prst="rect">
          <a:avLst/>
        </a:prstGeom>
        <a:ln/>
      </xdr:spPr>
      <xdr:style>
        <a:lnRef idx="0">
          <a:schemeClr val="accent1"/>
        </a:lnRef>
        <a:fillRef idx="3">
          <a:schemeClr val="accent1"/>
        </a:fillRef>
        <a:effectRef idx="3">
          <a:schemeClr val="accent1"/>
        </a:effectRef>
        <a:fontRef idx="minor">
          <a:schemeClr val="lt1"/>
        </a:fontRef>
      </xdr:style>
      <xdr:txBody>
        <a:bodyPr vertOverflow="clip" horzOverflow="clip" wrap="square" rtlCol="0" anchor="t"/>
        <a:lstStyle/>
        <a:p>
          <a:r>
            <a:rPr lang="es-ES" sz="1100" b="1"/>
            <a:t>Aqui</a:t>
          </a:r>
          <a:r>
            <a:rPr lang="es-ES" sz="1100" b="1" baseline="0"/>
            <a:t> el sistema debera permitir visualizar y imprimir</a:t>
          </a:r>
          <a:endParaRPr lang="es-ES" sz="1100" b="1"/>
        </a:p>
      </xdr:txBody>
    </xdr:sp>
    <xdr:clientData/>
  </xdr:twoCellAnchor>
  <xdr:twoCellAnchor>
    <xdr:from>
      <xdr:col>19</xdr:col>
      <xdr:colOff>685800</xdr:colOff>
      <xdr:row>4</xdr:row>
      <xdr:rowOff>180975</xdr:rowOff>
    </xdr:from>
    <xdr:to>
      <xdr:col>20</xdr:col>
      <xdr:colOff>447675</xdr:colOff>
      <xdr:row>5</xdr:row>
      <xdr:rowOff>114300</xdr:rowOff>
    </xdr:to>
    <xdr:cxnSp macro="">
      <xdr:nvCxnSpPr>
        <xdr:cNvPr id="21" name="20 Conector recto de flecha"/>
        <xdr:cNvCxnSpPr/>
      </xdr:nvCxnSpPr>
      <xdr:spPr>
        <a:xfrm>
          <a:off x="15259050" y="981075"/>
          <a:ext cx="523875" cy="1333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4" name="Tabla4" displayName="Tabla4" ref="A1:D111" totalsRowShown="0" dataDxfId="34" headerRowBorderDxfId="35" tableBorderDxfId="33" dataCellStyle="20% - Énfasis4">
  <autoFilter ref="A1:D111"/>
  <tableColumns count="4">
    <tableColumn id="1" name="CODIGO" dataDxfId="32" dataCellStyle="20% - Énfasis4"/>
    <tableColumn id="2" name="REFERENCIA" dataDxfId="31" dataCellStyle="20% - Énfasis4"/>
    <tableColumn id="3" name="VALOR " dataDxfId="30" dataCellStyle="20% - Énfasis4"/>
    <tableColumn id="4" name="UNIDAD DE MEDIDA" dataDxfId="29" dataCellStyle="20% - Énfasis4"/>
  </tableColumns>
  <tableStyleInfo name="TableStyleMedium26" showFirstColumn="0" showLastColumn="0" showRowStripes="1" showColumnStripes="0"/>
</table>
</file>

<file path=xl/tables/table2.xml><?xml version="1.0" encoding="utf-8"?>
<table xmlns="http://schemas.openxmlformats.org/spreadsheetml/2006/main" id="3" name="Tabla3" displayName="Tabla3" ref="A1:E145" totalsRowShown="0" headerRowBorderDxfId="28" tableBorderDxfId="27" headerRowCellStyle="Énfasis4">
  <autoFilter ref="A1:E145"/>
  <tableColumns count="5">
    <tableColumn id="1" name="CODIGO" dataDxfId="26" dataCellStyle="Normal 3"/>
    <tableColumn id="2" name="REFERENCIA CRUDO" dataDxfId="25" dataCellStyle="Normal 3"/>
    <tableColumn id="3" name="COSTO CRUDO" dataDxfId="24" dataCellStyle="Millares 3"/>
    <tableColumn id="4" name="COSTO CROMADO" dataDxfId="23" dataCellStyle="Millares 3"/>
    <tableColumn id="5" name="UNIDAD DE MEDIDA" dataDxfId="22" dataCellStyle="Normal 3"/>
  </tableColumns>
  <tableStyleInfo name="TableStyleMedium26" showFirstColumn="0" showLastColumn="0" showRowStripes="1" showColumnStripes="0"/>
</table>
</file>

<file path=xl/tables/table3.xml><?xml version="1.0" encoding="utf-8"?>
<table xmlns="http://schemas.openxmlformats.org/spreadsheetml/2006/main" id="5" name="Tabla5" displayName="Tabla5" ref="A1:D286" totalsRowShown="0" headerRowBorderDxfId="21" tableBorderDxfId="20">
  <autoFilter ref="A1:D286"/>
  <tableColumns count="4">
    <tableColumn id="1" name="CODIGO" dataDxfId="19" dataCellStyle="20% - Énfasis4"/>
    <tableColumn id="2" name="REFERENCIA" dataDxfId="18" dataCellStyle="20% - Énfasis4"/>
    <tableColumn id="3" name="VALOR" dataDxfId="17" dataCellStyle="20% - Énfasis4"/>
    <tableColumn id="4" name="UNIDAD DE MEDIDA" dataDxfId="16" dataCellStyle="20% - Énfasis4"/>
  </tableColumns>
  <tableStyleInfo name="TableStyleMedium26" showFirstColumn="0" showLastColumn="0" showRowStripes="1" showColumnStripes="0"/>
</table>
</file>

<file path=xl/tables/table4.xml><?xml version="1.0" encoding="utf-8"?>
<table xmlns="http://schemas.openxmlformats.org/spreadsheetml/2006/main" id="6" name="Tabla6" displayName="Tabla6" ref="A1:D208" totalsRowShown="0" headerRowDxfId="15" dataDxfId="13" headerRowBorderDxfId="14" tableBorderDxfId="12" dataCellStyle="20% - Énfasis4">
  <autoFilter ref="A1:D208"/>
  <tableColumns count="4">
    <tableColumn id="1" name="CODIGO" dataDxfId="11" dataCellStyle="20% - Énfasis4"/>
    <tableColumn id="2" name="REFERENCIA" dataDxfId="10" dataCellStyle="20% - Énfasis4"/>
    <tableColumn id="3" name="VALOR " dataDxfId="9" dataCellStyle="20% - Énfasis4"/>
    <tableColumn id="4" name="UNIDAD MEDIDA" dataDxfId="8" dataCellStyle="20% - Énfasis4"/>
  </tableColumns>
  <tableStyleInfo name="TableStyleMedium26" showFirstColumn="0" showLastColumn="0" showRowStripes="1" showColumnStripes="0"/>
</table>
</file>

<file path=xl/tables/table5.xml><?xml version="1.0" encoding="utf-8"?>
<table xmlns="http://schemas.openxmlformats.org/spreadsheetml/2006/main" id="7" name="Tabla7" displayName="Tabla7" ref="A1:D95" totalsRowShown="0" headerRowDxfId="7" dataDxfId="5" headerRowBorderDxfId="6" tableBorderDxfId="4">
  <autoFilter ref="A1:D95"/>
  <tableColumns count="4">
    <tableColumn id="1" name="CODIGO" dataDxfId="3" dataCellStyle="20% - Énfasis4"/>
    <tableColumn id="2" name="REFERENCIA " dataDxfId="2" dataCellStyle="20% - Énfasis4"/>
    <tableColumn id="3" name="VALOR" dataDxfId="1" dataCellStyle="20% - Énfasis4"/>
    <tableColumn id="4" name="UNIDAD DE MEDIDA" dataDxfId="0" dataCellStyle="20% - Énfasis4"/>
  </tableColumns>
  <tableStyleInfo name="TableStyleMedium2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externalLinkPath" Target="/Users/ASIS~1.ACA/AppData/Local/Temp/Copia%20de%20INVENTARIOS.xlsx" TargetMode="External"/><Relationship Id="rId1" Type="http://schemas.openxmlformats.org/officeDocument/2006/relationships/externalLinkPath" Target="/Users/ASIS~1.ACA/AppData/Local/Temp/Copia%20de%20INVENTARIOS.xlsx" TargetMode="Externa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3" Type="http://schemas.openxmlformats.org/officeDocument/2006/relationships/hyperlink" Target="../../../../asis.academia/AppData/Local/AppData/Local/COPIAS%20USB/Copia%20USB%202009/Copia_USB/Correo_UGC/Punto%20de%20equilibrio/Ejercicio%20de%20Costos%20Estandar.xls" TargetMode="External"/><Relationship Id="rId2" Type="http://schemas.openxmlformats.org/officeDocument/2006/relationships/hyperlink" Target="../../../../asis.academia/AppData/Local/AppData/Local/COPIAS%20USB/Copia%20USB%202009/Copia_USB/Correo_UGC/Punto%20de%20equilibrio/Ejercicio%20de%20Costos%20Estandar.xls" TargetMode="External"/><Relationship Id="rId1" Type="http://schemas.openxmlformats.org/officeDocument/2006/relationships/hyperlink" Target="../../../../asis.academia/AppData/Local/AppData/Local/COPIAS%20USB/Copia%20USB%202009/Copia_USB/Correo_UGC/Punto%20de%20equilibrio/Ejercicio%20de%20Costos%20Estandar.xls" TargetMode="External"/><Relationship Id="rId4" Type="http://schemas.openxmlformats.org/officeDocument/2006/relationships/hyperlink" Target="../../../../asis.academia/AppData/Local/AppData/Local/COPIAS%20USB/Copia%20USB%202009/Copia_USB/Correo_UGC/Punto%20de%20equilibrio/Ejercicio%20de%20Costos%20Estandar.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tabColor theme="7" tint="-0.249977111117893"/>
  </sheetPr>
  <dimension ref="A1:F111"/>
  <sheetViews>
    <sheetView topLeftCell="A101" workbookViewId="0">
      <selection activeCell="C111" sqref="C111"/>
    </sheetView>
  </sheetViews>
  <sheetFormatPr baseColWidth="10" defaultRowHeight="15" x14ac:dyDescent="0.25"/>
  <cols>
    <col min="1" max="1" width="11.42578125" style="180"/>
    <col min="2" max="2" width="25.42578125" style="180" bestFit="1" customWidth="1"/>
    <col min="3" max="3" width="15.140625" style="180" customWidth="1"/>
    <col min="4" max="4" width="20.85546875" style="180" customWidth="1"/>
    <col min="5" max="5" width="11.42578125" style="180"/>
    <col min="6" max="6" width="13" style="180" bestFit="1" customWidth="1"/>
    <col min="7" max="16384" width="11.42578125" style="180"/>
  </cols>
  <sheetData>
    <row r="1" spans="1:6" s="178" customFormat="1" x14ac:dyDescent="0.25">
      <c r="A1" s="404" t="s">
        <v>284</v>
      </c>
      <c r="B1" s="404" t="s">
        <v>285</v>
      </c>
      <c r="C1" s="405" t="s">
        <v>1148</v>
      </c>
      <c r="D1" s="406" t="s">
        <v>287</v>
      </c>
    </row>
    <row r="2" spans="1:6" x14ac:dyDescent="0.25">
      <c r="A2" s="369">
        <v>1001</v>
      </c>
      <c r="B2" s="369" t="s">
        <v>288</v>
      </c>
      <c r="C2" s="370">
        <v>5000</v>
      </c>
      <c r="D2" s="369" t="s">
        <v>657</v>
      </c>
    </row>
    <row r="3" spans="1:6" x14ac:dyDescent="0.25">
      <c r="A3" s="369">
        <v>1002</v>
      </c>
      <c r="B3" s="369" t="s">
        <v>289</v>
      </c>
      <c r="C3" s="370">
        <f>+$C$2</f>
        <v>5000</v>
      </c>
      <c r="D3" s="369" t="s">
        <v>657</v>
      </c>
    </row>
    <row r="4" spans="1:6" x14ac:dyDescent="0.25">
      <c r="A4" s="369">
        <v>1003</v>
      </c>
      <c r="B4" s="369" t="s">
        <v>291</v>
      </c>
      <c r="C4" s="370">
        <f>+$C$2</f>
        <v>5000</v>
      </c>
      <c r="D4" s="369" t="s">
        <v>657</v>
      </c>
    </row>
    <row r="5" spans="1:6" x14ac:dyDescent="0.25">
      <c r="A5" s="369">
        <v>1004</v>
      </c>
      <c r="B5" s="369" t="s">
        <v>292</v>
      </c>
      <c r="C5" s="370">
        <f>+$C$2</f>
        <v>5000</v>
      </c>
      <c r="D5" s="369" t="s">
        <v>657</v>
      </c>
      <c r="F5" s="181"/>
    </row>
    <row r="6" spans="1:6" x14ac:dyDescent="0.25">
      <c r="A6" s="369">
        <v>1005</v>
      </c>
      <c r="B6" s="369" t="s">
        <v>293</v>
      </c>
      <c r="C6" s="370">
        <f>+$C$2</f>
        <v>5000</v>
      </c>
      <c r="D6" s="369" t="s">
        <v>657</v>
      </c>
    </row>
    <row r="7" spans="1:6" x14ac:dyDescent="0.25">
      <c r="A7" s="369">
        <v>1006</v>
      </c>
      <c r="B7" s="369" t="s">
        <v>294</v>
      </c>
      <c r="C7" s="370">
        <f>+$C$2</f>
        <v>5000</v>
      </c>
      <c r="D7" s="369" t="s">
        <v>657</v>
      </c>
    </row>
    <row r="8" spans="1:6" x14ac:dyDescent="0.25">
      <c r="A8" s="369">
        <v>1007</v>
      </c>
      <c r="B8" s="369" t="s">
        <v>295</v>
      </c>
      <c r="C8" s="370">
        <v>4170</v>
      </c>
      <c r="D8" s="369" t="s">
        <v>657</v>
      </c>
      <c r="F8" s="181"/>
    </row>
    <row r="9" spans="1:6" x14ac:dyDescent="0.25">
      <c r="A9" s="369">
        <v>1008</v>
      </c>
      <c r="B9" s="369" t="s">
        <v>296</v>
      </c>
      <c r="C9" s="370">
        <f t="shared" ref="C9:C43" si="0">+$C$8</f>
        <v>4170</v>
      </c>
      <c r="D9" s="369" t="s">
        <v>657</v>
      </c>
      <c r="F9" s="181"/>
    </row>
    <row r="10" spans="1:6" x14ac:dyDescent="0.25">
      <c r="A10" s="369">
        <v>1009</v>
      </c>
      <c r="B10" s="369" t="s">
        <v>297</v>
      </c>
      <c r="C10" s="370">
        <f t="shared" si="0"/>
        <v>4170</v>
      </c>
      <c r="D10" s="369" t="s">
        <v>657</v>
      </c>
      <c r="F10" s="182"/>
    </row>
    <row r="11" spans="1:6" x14ac:dyDescent="0.25">
      <c r="A11" s="369">
        <v>1010</v>
      </c>
      <c r="B11" s="369" t="s">
        <v>298</v>
      </c>
      <c r="C11" s="370">
        <f t="shared" si="0"/>
        <v>4170</v>
      </c>
      <c r="D11" s="369" t="s">
        <v>657</v>
      </c>
    </row>
    <row r="12" spans="1:6" x14ac:dyDescent="0.25">
      <c r="A12" s="369">
        <v>1011</v>
      </c>
      <c r="B12" s="369" t="s">
        <v>299</v>
      </c>
      <c r="C12" s="370">
        <f t="shared" si="0"/>
        <v>4170</v>
      </c>
      <c r="D12" s="369" t="s">
        <v>657</v>
      </c>
    </row>
    <row r="13" spans="1:6" x14ac:dyDescent="0.25">
      <c r="A13" s="369">
        <v>1012</v>
      </c>
      <c r="B13" s="369" t="s">
        <v>300</v>
      </c>
      <c r="C13" s="370">
        <f t="shared" si="0"/>
        <v>4170</v>
      </c>
      <c r="D13" s="369" t="s">
        <v>657</v>
      </c>
    </row>
    <row r="14" spans="1:6" x14ac:dyDescent="0.25">
      <c r="A14" s="369">
        <v>1013</v>
      </c>
      <c r="B14" s="369" t="s">
        <v>301</v>
      </c>
      <c r="C14" s="370">
        <f t="shared" si="0"/>
        <v>4170</v>
      </c>
      <c r="D14" s="369" t="s">
        <v>657</v>
      </c>
    </row>
    <row r="15" spans="1:6" x14ac:dyDescent="0.25">
      <c r="A15" s="369">
        <v>1014</v>
      </c>
      <c r="B15" s="369" t="s">
        <v>302</v>
      </c>
      <c r="C15" s="370">
        <f t="shared" si="0"/>
        <v>4170</v>
      </c>
      <c r="D15" s="369" t="s">
        <v>657</v>
      </c>
    </row>
    <row r="16" spans="1:6" x14ac:dyDescent="0.25">
      <c r="A16" s="369">
        <v>1015</v>
      </c>
      <c r="B16" s="369" t="s">
        <v>303</v>
      </c>
      <c r="C16" s="370">
        <f t="shared" si="0"/>
        <v>4170</v>
      </c>
      <c r="D16" s="369" t="s">
        <v>657</v>
      </c>
    </row>
    <row r="17" spans="1:4" x14ac:dyDescent="0.25">
      <c r="A17" s="369">
        <v>1016</v>
      </c>
      <c r="B17" s="369" t="s">
        <v>304</v>
      </c>
      <c r="C17" s="370">
        <f t="shared" si="0"/>
        <v>4170</v>
      </c>
      <c r="D17" s="369" t="s">
        <v>657</v>
      </c>
    </row>
    <row r="18" spans="1:4" x14ac:dyDescent="0.25">
      <c r="A18" s="369">
        <v>1017</v>
      </c>
      <c r="B18" s="369" t="s">
        <v>305</v>
      </c>
      <c r="C18" s="370">
        <f t="shared" si="0"/>
        <v>4170</v>
      </c>
      <c r="D18" s="369" t="s">
        <v>657</v>
      </c>
    </row>
    <row r="19" spans="1:4" x14ac:dyDescent="0.25">
      <c r="A19" s="369">
        <v>1018</v>
      </c>
      <c r="B19" s="369" t="s">
        <v>306</v>
      </c>
      <c r="C19" s="370">
        <f t="shared" si="0"/>
        <v>4170</v>
      </c>
      <c r="D19" s="369" t="s">
        <v>657</v>
      </c>
    </row>
    <row r="20" spans="1:4" x14ac:dyDescent="0.25">
      <c r="A20" s="369">
        <v>1019</v>
      </c>
      <c r="B20" s="369" t="s">
        <v>307</v>
      </c>
      <c r="C20" s="370">
        <f t="shared" si="0"/>
        <v>4170</v>
      </c>
      <c r="D20" s="369" t="s">
        <v>657</v>
      </c>
    </row>
    <row r="21" spans="1:4" x14ac:dyDescent="0.25">
      <c r="A21" s="369">
        <v>1020</v>
      </c>
      <c r="B21" s="369" t="s">
        <v>308</v>
      </c>
      <c r="C21" s="370">
        <f t="shared" si="0"/>
        <v>4170</v>
      </c>
      <c r="D21" s="369" t="s">
        <v>657</v>
      </c>
    </row>
    <row r="22" spans="1:4" x14ac:dyDescent="0.25">
      <c r="A22" s="369">
        <v>1021</v>
      </c>
      <c r="B22" s="369" t="s">
        <v>309</v>
      </c>
      <c r="C22" s="370">
        <f t="shared" si="0"/>
        <v>4170</v>
      </c>
      <c r="D22" s="369" t="s">
        <v>657</v>
      </c>
    </row>
    <row r="23" spans="1:4" x14ac:dyDescent="0.25">
      <c r="A23" s="369">
        <v>1022</v>
      </c>
      <c r="B23" s="369" t="s">
        <v>310</v>
      </c>
      <c r="C23" s="370">
        <f t="shared" si="0"/>
        <v>4170</v>
      </c>
      <c r="D23" s="369" t="s">
        <v>657</v>
      </c>
    </row>
    <row r="24" spans="1:4" x14ac:dyDescent="0.25">
      <c r="A24" s="369">
        <v>1023</v>
      </c>
      <c r="B24" s="369" t="s">
        <v>311</v>
      </c>
      <c r="C24" s="370">
        <f t="shared" si="0"/>
        <v>4170</v>
      </c>
      <c r="D24" s="369" t="s">
        <v>657</v>
      </c>
    </row>
    <row r="25" spans="1:4" x14ac:dyDescent="0.25">
      <c r="A25" s="369">
        <v>1024</v>
      </c>
      <c r="B25" s="369" t="s">
        <v>312</v>
      </c>
      <c r="C25" s="370">
        <f t="shared" si="0"/>
        <v>4170</v>
      </c>
      <c r="D25" s="369" t="s">
        <v>657</v>
      </c>
    </row>
    <row r="26" spans="1:4" x14ac:dyDescent="0.25">
      <c r="A26" s="369">
        <v>1025</v>
      </c>
      <c r="B26" s="369" t="s">
        <v>313</v>
      </c>
      <c r="C26" s="370">
        <f t="shared" si="0"/>
        <v>4170</v>
      </c>
      <c r="D26" s="369" t="s">
        <v>657</v>
      </c>
    </row>
    <row r="27" spans="1:4" x14ac:dyDescent="0.25">
      <c r="A27" s="369">
        <v>1026</v>
      </c>
      <c r="B27" s="369" t="s">
        <v>314</v>
      </c>
      <c r="C27" s="370">
        <f t="shared" si="0"/>
        <v>4170</v>
      </c>
      <c r="D27" s="369" t="s">
        <v>657</v>
      </c>
    </row>
    <row r="28" spans="1:4" x14ac:dyDescent="0.25">
      <c r="A28" s="369">
        <v>1027</v>
      </c>
      <c r="B28" s="369" t="s">
        <v>315</v>
      </c>
      <c r="C28" s="370">
        <f t="shared" si="0"/>
        <v>4170</v>
      </c>
      <c r="D28" s="369" t="s">
        <v>657</v>
      </c>
    </row>
    <row r="29" spans="1:4" x14ac:dyDescent="0.25">
      <c r="A29" s="369">
        <v>1028</v>
      </c>
      <c r="B29" s="369" t="s">
        <v>316</v>
      </c>
      <c r="C29" s="370">
        <f t="shared" si="0"/>
        <v>4170</v>
      </c>
      <c r="D29" s="369" t="s">
        <v>657</v>
      </c>
    </row>
    <row r="30" spans="1:4" x14ac:dyDescent="0.25">
      <c r="A30" s="369">
        <v>1029</v>
      </c>
      <c r="B30" s="369" t="s">
        <v>317</v>
      </c>
      <c r="C30" s="370">
        <f t="shared" si="0"/>
        <v>4170</v>
      </c>
      <c r="D30" s="369" t="s">
        <v>657</v>
      </c>
    </row>
    <row r="31" spans="1:4" x14ac:dyDescent="0.25">
      <c r="A31" s="369">
        <v>1030</v>
      </c>
      <c r="B31" s="369" t="s">
        <v>318</v>
      </c>
      <c r="C31" s="370">
        <f t="shared" si="0"/>
        <v>4170</v>
      </c>
      <c r="D31" s="369" t="s">
        <v>657</v>
      </c>
    </row>
    <row r="32" spans="1:4" x14ac:dyDescent="0.25">
      <c r="A32" s="369">
        <v>1031</v>
      </c>
      <c r="B32" s="369" t="s">
        <v>319</v>
      </c>
      <c r="C32" s="370">
        <f t="shared" si="0"/>
        <v>4170</v>
      </c>
      <c r="D32" s="369" t="s">
        <v>657</v>
      </c>
    </row>
    <row r="33" spans="1:6" x14ac:dyDescent="0.25">
      <c r="A33" s="369">
        <v>1032</v>
      </c>
      <c r="B33" s="369" t="s">
        <v>320</v>
      </c>
      <c r="C33" s="370">
        <f t="shared" si="0"/>
        <v>4170</v>
      </c>
      <c r="D33" s="369" t="s">
        <v>657</v>
      </c>
    </row>
    <row r="34" spans="1:6" x14ac:dyDescent="0.25">
      <c r="A34" s="369">
        <v>1033</v>
      </c>
      <c r="B34" s="369" t="s">
        <v>321</v>
      </c>
      <c r="C34" s="370">
        <f t="shared" si="0"/>
        <v>4170</v>
      </c>
      <c r="D34" s="369" t="s">
        <v>657</v>
      </c>
    </row>
    <row r="35" spans="1:6" x14ac:dyDescent="0.25">
      <c r="A35" s="369">
        <v>1034</v>
      </c>
      <c r="B35" s="369" t="s">
        <v>322</v>
      </c>
      <c r="C35" s="370">
        <f t="shared" si="0"/>
        <v>4170</v>
      </c>
      <c r="D35" s="369" t="s">
        <v>657</v>
      </c>
    </row>
    <row r="36" spans="1:6" x14ac:dyDescent="0.25">
      <c r="A36" s="369">
        <v>1035</v>
      </c>
      <c r="B36" s="369" t="s">
        <v>323</v>
      </c>
      <c r="C36" s="370">
        <f t="shared" si="0"/>
        <v>4170</v>
      </c>
      <c r="D36" s="369" t="s">
        <v>657</v>
      </c>
    </row>
    <row r="37" spans="1:6" x14ac:dyDescent="0.25">
      <c r="A37" s="369">
        <v>1036</v>
      </c>
      <c r="B37" s="369" t="s">
        <v>324</v>
      </c>
      <c r="C37" s="370">
        <f t="shared" si="0"/>
        <v>4170</v>
      </c>
      <c r="D37" s="369" t="s">
        <v>657</v>
      </c>
    </row>
    <row r="38" spans="1:6" x14ac:dyDescent="0.25">
      <c r="A38" s="369">
        <v>1037</v>
      </c>
      <c r="B38" s="369" t="s">
        <v>325</v>
      </c>
      <c r="C38" s="370">
        <f t="shared" si="0"/>
        <v>4170</v>
      </c>
      <c r="D38" s="369" t="s">
        <v>657</v>
      </c>
    </row>
    <row r="39" spans="1:6" x14ac:dyDescent="0.25">
      <c r="A39" s="369">
        <v>1038</v>
      </c>
      <c r="B39" s="369" t="s">
        <v>326</v>
      </c>
      <c r="C39" s="370">
        <f t="shared" si="0"/>
        <v>4170</v>
      </c>
      <c r="D39" s="369" t="s">
        <v>657</v>
      </c>
    </row>
    <row r="40" spans="1:6" x14ac:dyDescent="0.25">
      <c r="A40" s="369">
        <v>1039</v>
      </c>
      <c r="B40" s="369" t="s">
        <v>327</v>
      </c>
      <c r="C40" s="370">
        <f t="shared" si="0"/>
        <v>4170</v>
      </c>
      <c r="D40" s="369" t="s">
        <v>657</v>
      </c>
    </row>
    <row r="41" spans="1:6" x14ac:dyDescent="0.25">
      <c r="A41" s="369">
        <v>1040</v>
      </c>
      <c r="B41" s="369" t="s">
        <v>328</v>
      </c>
      <c r="C41" s="370">
        <f t="shared" si="0"/>
        <v>4170</v>
      </c>
      <c r="D41" s="369" t="s">
        <v>657</v>
      </c>
    </row>
    <row r="42" spans="1:6" x14ac:dyDescent="0.25">
      <c r="A42" s="369">
        <v>1041</v>
      </c>
      <c r="B42" s="369" t="s">
        <v>329</v>
      </c>
      <c r="C42" s="370">
        <f t="shared" si="0"/>
        <v>4170</v>
      </c>
      <c r="D42" s="369" t="s">
        <v>657</v>
      </c>
    </row>
    <row r="43" spans="1:6" x14ac:dyDescent="0.25">
      <c r="A43" s="369">
        <v>1042</v>
      </c>
      <c r="B43" s="369" t="s">
        <v>330</v>
      </c>
      <c r="C43" s="370">
        <f t="shared" si="0"/>
        <v>4170</v>
      </c>
      <c r="D43" s="369" t="s">
        <v>657</v>
      </c>
    </row>
    <row r="44" spans="1:6" x14ac:dyDescent="0.25">
      <c r="A44" s="369">
        <v>1043</v>
      </c>
      <c r="B44" s="369" t="s">
        <v>331</v>
      </c>
      <c r="C44" s="370">
        <f>45000/6</f>
        <v>7500</v>
      </c>
      <c r="D44" s="369" t="s">
        <v>657</v>
      </c>
      <c r="F44" s="181"/>
    </row>
    <row r="45" spans="1:6" x14ac:dyDescent="0.25">
      <c r="A45" s="369">
        <v>1044</v>
      </c>
      <c r="B45" s="369" t="s">
        <v>332</v>
      </c>
      <c r="C45" s="370">
        <f t="shared" ref="C45:C71" si="1">+$C$44</f>
        <v>7500</v>
      </c>
      <c r="D45" s="369" t="s">
        <v>657</v>
      </c>
    </row>
    <row r="46" spans="1:6" x14ac:dyDescent="0.25">
      <c r="A46" s="369">
        <v>1045</v>
      </c>
      <c r="B46" s="369" t="s">
        <v>333</v>
      </c>
      <c r="C46" s="370">
        <f t="shared" si="1"/>
        <v>7500</v>
      </c>
      <c r="D46" s="369" t="s">
        <v>657</v>
      </c>
    </row>
    <row r="47" spans="1:6" x14ac:dyDescent="0.25">
      <c r="A47" s="369">
        <v>1046</v>
      </c>
      <c r="B47" s="369" t="s">
        <v>334</v>
      </c>
      <c r="C47" s="370">
        <f t="shared" si="1"/>
        <v>7500</v>
      </c>
      <c r="D47" s="369" t="s">
        <v>657</v>
      </c>
    </row>
    <row r="48" spans="1:6" x14ac:dyDescent="0.25">
      <c r="A48" s="369">
        <v>1047</v>
      </c>
      <c r="B48" s="369" t="s">
        <v>335</v>
      </c>
      <c r="C48" s="370">
        <f t="shared" si="1"/>
        <v>7500</v>
      </c>
      <c r="D48" s="369" t="s">
        <v>657</v>
      </c>
    </row>
    <row r="49" spans="1:4" x14ac:dyDescent="0.25">
      <c r="A49" s="369">
        <v>1048</v>
      </c>
      <c r="B49" s="369" t="s">
        <v>336</v>
      </c>
      <c r="C49" s="370">
        <f t="shared" si="1"/>
        <v>7500</v>
      </c>
      <c r="D49" s="369" t="s">
        <v>657</v>
      </c>
    </row>
    <row r="50" spans="1:4" x14ac:dyDescent="0.25">
      <c r="A50" s="369">
        <v>1049</v>
      </c>
      <c r="B50" s="369" t="s">
        <v>337</v>
      </c>
      <c r="C50" s="370">
        <f t="shared" si="1"/>
        <v>7500</v>
      </c>
      <c r="D50" s="369" t="s">
        <v>657</v>
      </c>
    </row>
    <row r="51" spans="1:4" x14ac:dyDescent="0.25">
      <c r="A51" s="369">
        <v>1050</v>
      </c>
      <c r="B51" s="369" t="s">
        <v>338</v>
      </c>
      <c r="C51" s="370">
        <f t="shared" si="1"/>
        <v>7500</v>
      </c>
      <c r="D51" s="369" t="s">
        <v>657</v>
      </c>
    </row>
    <row r="52" spans="1:4" x14ac:dyDescent="0.25">
      <c r="A52" s="369">
        <v>1051</v>
      </c>
      <c r="B52" s="369" t="s">
        <v>339</v>
      </c>
      <c r="C52" s="370">
        <f t="shared" si="1"/>
        <v>7500</v>
      </c>
      <c r="D52" s="369" t="s">
        <v>657</v>
      </c>
    </row>
    <row r="53" spans="1:4" x14ac:dyDescent="0.25">
      <c r="A53" s="369">
        <v>1052</v>
      </c>
      <c r="B53" s="369" t="s">
        <v>340</v>
      </c>
      <c r="C53" s="370">
        <f t="shared" si="1"/>
        <v>7500</v>
      </c>
      <c r="D53" s="369" t="s">
        <v>657</v>
      </c>
    </row>
    <row r="54" spans="1:4" x14ac:dyDescent="0.25">
      <c r="A54" s="369">
        <v>1053</v>
      </c>
      <c r="B54" s="369" t="s">
        <v>341</v>
      </c>
      <c r="C54" s="370">
        <f t="shared" si="1"/>
        <v>7500</v>
      </c>
      <c r="D54" s="369" t="s">
        <v>657</v>
      </c>
    </row>
    <row r="55" spans="1:4" x14ac:dyDescent="0.25">
      <c r="A55" s="369">
        <v>1054</v>
      </c>
      <c r="B55" s="369" t="s">
        <v>342</v>
      </c>
      <c r="C55" s="370">
        <f t="shared" si="1"/>
        <v>7500</v>
      </c>
      <c r="D55" s="369" t="s">
        <v>657</v>
      </c>
    </row>
    <row r="56" spans="1:4" x14ac:dyDescent="0.25">
      <c r="A56" s="369">
        <v>1055</v>
      </c>
      <c r="B56" s="369" t="s">
        <v>343</v>
      </c>
      <c r="C56" s="370">
        <f t="shared" si="1"/>
        <v>7500</v>
      </c>
      <c r="D56" s="369" t="s">
        <v>657</v>
      </c>
    </row>
    <row r="57" spans="1:4" x14ac:dyDescent="0.25">
      <c r="A57" s="369">
        <v>1056</v>
      </c>
      <c r="B57" s="369" t="s">
        <v>344</v>
      </c>
      <c r="C57" s="370">
        <f t="shared" si="1"/>
        <v>7500</v>
      </c>
      <c r="D57" s="369" t="s">
        <v>657</v>
      </c>
    </row>
    <row r="58" spans="1:4" x14ac:dyDescent="0.25">
      <c r="A58" s="369">
        <v>1057</v>
      </c>
      <c r="B58" s="369" t="s">
        <v>345</v>
      </c>
      <c r="C58" s="370">
        <f t="shared" si="1"/>
        <v>7500</v>
      </c>
      <c r="D58" s="369" t="s">
        <v>657</v>
      </c>
    </row>
    <row r="59" spans="1:4" x14ac:dyDescent="0.25">
      <c r="A59" s="369">
        <v>1058</v>
      </c>
      <c r="B59" s="369" t="s">
        <v>346</v>
      </c>
      <c r="C59" s="370">
        <f t="shared" si="1"/>
        <v>7500</v>
      </c>
      <c r="D59" s="369" t="s">
        <v>657</v>
      </c>
    </row>
    <row r="60" spans="1:4" x14ac:dyDescent="0.25">
      <c r="A60" s="369">
        <v>1059</v>
      </c>
      <c r="B60" s="369" t="s">
        <v>347</v>
      </c>
      <c r="C60" s="370">
        <f t="shared" si="1"/>
        <v>7500</v>
      </c>
      <c r="D60" s="369" t="s">
        <v>657</v>
      </c>
    </row>
    <row r="61" spans="1:4" x14ac:dyDescent="0.25">
      <c r="A61" s="369">
        <v>1060</v>
      </c>
      <c r="B61" s="369" t="s">
        <v>348</v>
      </c>
      <c r="C61" s="370">
        <f t="shared" si="1"/>
        <v>7500</v>
      </c>
      <c r="D61" s="369" t="s">
        <v>657</v>
      </c>
    </row>
    <row r="62" spans="1:4" x14ac:dyDescent="0.25">
      <c r="A62" s="369">
        <v>1061</v>
      </c>
      <c r="B62" s="369" t="s">
        <v>349</v>
      </c>
      <c r="C62" s="370">
        <f t="shared" si="1"/>
        <v>7500</v>
      </c>
      <c r="D62" s="369" t="s">
        <v>657</v>
      </c>
    </row>
    <row r="63" spans="1:4" x14ac:dyDescent="0.25">
      <c r="A63" s="369">
        <v>1062</v>
      </c>
      <c r="B63" s="369" t="s">
        <v>350</v>
      </c>
      <c r="C63" s="370">
        <f t="shared" si="1"/>
        <v>7500</v>
      </c>
      <c r="D63" s="369" t="s">
        <v>657</v>
      </c>
    </row>
    <row r="64" spans="1:4" x14ac:dyDescent="0.25">
      <c r="A64" s="369">
        <v>1063</v>
      </c>
      <c r="B64" s="369" t="s">
        <v>351</v>
      </c>
      <c r="C64" s="370">
        <f t="shared" si="1"/>
        <v>7500</v>
      </c>
      <c r="D64" s="369" t="s">
        <v>657</v>
      </c>
    </row>
    <row r="65" spans="1:4" x14ac:dyDescent="0.25">
      <c r="A65" s="369">
        <v>1064</v>
      </c>
      <c r="B65" s="369" t="s">
        <v>352</v>
      </c>
      <c r="C65" s="370">
        <f t="shared" si="1"/>
        <v>7500</v>
      </c>
      <c r="D65" s="369" t="s">
        <v>657</v>
      </c>
    </row>
    <row r="66" spans="1:4" x14ac:dyDescent="0.25">
      <c r="A66" s="369">
        <v>1065</v>
      </c>
      <c r="B66" s="369" t="s">
        <v>353</v>
      </c>
      <c r="C66" s="370">
        <f t="shared" si="1"/>
        <v>7500</v>
      </c>
      <c r="D66" s="369" t="s">
        <v>657</v>
      </c>
    </row>
    <row r="67" spans="1:4" x14ac:dyDescent="0.25">
      <c r="A67" s="369">
        <v>1066</v>
      </c>
      <c r="B67" s="369" t="s">
        <v>354</v>
      </c>
      <c r="C67" s="370">
        <f t="shared" si="1"/>
        <v>7500</v>
      </c>
      <c r="D67" s="369" t="s">
        <v>657</v>
      </c>
    </row>
    <row r="68" spans="1:4" x14ac:dyDescent="0.25">
      <c r="A68" s="369">
        <v>1067</v>
      </c>
      <c r="B68" s="369" t="s">
        <v>355</v>
      </c>
      <c r="C68" s="370">
        <f t="shared" si="1"/>
        <v>7500</v>
      </c>
      <c r="D68" s="369" t="s">
        <v>657</v>
      </c>
    </row>
    <row r="69" spans="1:4" x14ac:dyDescent="0.25">
      <c r="A69" s="369">
        <v>1068</v>
      </c>
      <c r="B69" s="369" t="s">
        <v>356</v>
      </c>
      <c r="C69" s="370">
        <f t="shared" si="1"/>
        <v>7500</v>
      </c>
      <c r="D69" s="369" t="s">
        <v>657</v>
      </c>
    </row>
    <row r="70" spans="1:4" x14ac:dyDescent="0.25">
      <c r="A70" s="369">
        <v>1069</v>
      </c>
      <c r="B70" s="369" t="s">
        <v>357</v>
      </c>
      <c r="C70" s="370">
        <f t="shared" si="1"/>
        <v>7500</v>
      </c>
      <c r="D70" s="369" t="s">
        <v>657</v>
      </c>
    </row>
    <row r="71" spans="1:4" x14ac:dyDescent="0.25">
      <c r="A71" s="369">
        <v>1070</v>
      </c>
      <c r="B71" s="369" t="s">
        <v>358</v>
      </c>
      <c r="C71" s="370">
        <f t="shared" si="1"/>
        <v>7500</v>
      </c>
      <c r="D71" s="369" t="s">
        <v>657</v>
      </c>
    </row>
    <row r="72" spans="1:4" x14ac:dyDescent="0.25">
      <c r="A72" s="369">
        <v>1071</v>
      </c>
      <c r="B72" s="369" t="s">
        <v>359</v>
      </c>
      <c r="C72" s="371">
        <v>4700</v>
      </c>
      <c r="D72" s="369" t="s">
        <v>657</v>
      </c>
    </row>
    <row r="73" spans="1:4" x14ac:dyDescent="0.25">
      <c r="A73" s="369">
        <v>1072</v>
      </c>
      <c r="B73" s="369" t="s">
        <v>360</v>
      </c>
      <c r="C73" s="370">
        <f t="shared" ref="C73:C93" si="2">+$C$72</f>
        <v>4700</v>
      </c>
      <c r="D73" s="369" t="s">
        <v>657</v>
      </c>
    </row>
    <row r="74" spans="1:4" x14ac:dyDescent="0.25">
      <c r="A74" s="369">
        <v>1073</v>
      </c>
      <c r="B74" s="369" t="s">
        <v>361</v>
      </c>
      <c r="C74" s="370">
        <f t="shared" si="2"/>
        <v>4700</v>
      </c>
      <c r="D74" s="369" t="s">
        <v>657</v>
      </c>
    </row>
    <row r="75" spans="1:4" x14ac:dyDescent="0.25">
      <c r="A75" s="369">
        <v>1074</v>
      </c>
      <c r="B75" s="369" t="s">
        <v>362</v>
      </c>
      <c r="C75" s="370">
        <f t="shared" si="2"/>
        <v>4700</v>
      </c>
      <c r="D75" s="369" t="s">
        <v>657</v>
      </c>
    </row>
    <row r="76" spans="1:4" x14ac:dyDescent="0.25">
      <c r="A76" s="369">
        <v>1075</v>
      </c>
      <c r="B76" s="369" t="s">
        <v>363</v>
      </c>
      <c r="C76" s="370">
        <f t="shared" si="2"/>
        <v>4700</v>
      </c>
      <c r="D76" s="369" t="s">
        <v>657</v>
      </c>
    </row>
    <row r="77" spans="1:4" x14ac:dyDescent="0.25">
      <c r="A77" s="369">
        <v>1076</v>
      </c>
      <c r="B77" s="369" t="s">
        <v>364</v>
      </c>
      <c r="C77" s="370">
        <f t="shared" si="2"/>
        <v>4700</v>
      </c>
      <c r="D77" s="369" t="s">
        <v>657</v>
      </c>
    </row>
    <row r="78" spans="1:4" x14ac:dyDescent="0.25">
      <c r="A78" s="369">
        <v>1077</v>
      </c>
      <c r="B78" s="369" t="s">
        <v>365</v>
      </c>
      <c r="C78" s="370">
        <f t="shared" si="2"/>
        <v>4700</v>
      </c>
      <c r="D78" s="369" t="s">
        <v>657</v>
      </c>
    </row>
    <row r="79" spans="1:4" x14ac:dyDescent="0.25">
      <c r="A79" s="369">
        <v>1078</v>
      </c>
      <c r="B79" s="369" t="s">
        <v>366</v>
      </c>
      <c r="C79" s="370">
        <f t="shared" si="2"/>
        <v>4700</v>
      </c>
      <c r="D79" s="369" t="s">
        <v>657</v>
      </c>
    </row>
    <row r="80" spans="1:4" x14ac:dyDescent="0.25">
      <c r="A80" s="369">
        <v>1079</v>
      </c>
      <c r="B80" s="369" t="s">
        <v>367</v>
      </c>
      <c r="C80" s="370">
        <f t="shared" si="2"/>
        <v>4700</v>
      </c>
      <c r="D80" s="369" t="s">
        <v>657</v>
      </c>
    </row>
    <row r="81" spans="1:4" x14ac:dyDescent="0.25">
      <c r="A81" s="369">
        <v>1080</v>
      </c>
      <c r="B81" s="369" t="s">
        <v>368</v>
      </c>
      <c r="C81" s="370">
        <f t="shared" si="2"/>
        <v>4700</v>
      </c>
      <c r="D81" s="369" t="s">
        <v>657</v>
      </c>
    </row>
    <row r="82" spans="1:4" x14ac:dyDescent="0.25">
      <c r="A82" s="369">
        <v>1081</v>
      </c>
      <c r="B82" s="369" t="s">
        <v>369</v>
      </c>
      <c r="C82" s="370">
        <f t="shared" si="2"/>
        <v>4700</v>
      </c>
      <c r="D82" s="369" t="s">
        <v>657</v>
      </c>
    </row>
    <row r="83" spans="1:4" x14ac:dyDescent="0.25">
      <c r="A83" s="369">
        <v>1082</v>
      </c>
      <c r="B83" s="369" t="s">
        <v>370</v>
      </c>
      <c r="C83" s="370">
        <f t="shared" si="2"/>
        <v>4700</v>
      </c>
      <c r="D83" s="369" t="s">
        <v>657</v>
      </c>
    </row>
    <row r="84" spans="1:4" x14ac:dyDescent="0.25">
      <c r="A84" s="369">
        <v>1083</v>
      </c>
      <c r="B84" s="369" t="s">
        <v>371</v>
      </c>
      <c r="C84" s="370">
        <f t="shared" si="2"/>
        <v>4700</v>
      </c>
      <c r="D84" s="369" t="s">
        <v>657</v>
      </c>
    </row>
    <row r="85" spans="1:4" x14ac:dyDescent="0.25">
      <c r="A85" s="369">
        <v>1084</v>
      </c>
      <c r="B85" s="369" t="s">
        <v>372</v>
      </c>
      <c r="C85" s="370">
        <f t="shared" si="2"/>
        <v>4700</v>
      </c>
      <c r="D85" s="369" t="s">
        <v>657</v>
      </c>
    </row>
    <row r="86" spans="1:4" x14ac:dyDescent="0.25">
      <c r="A86" s="369">
        <v>1085</v>
      </c>
      <c r="B86" s="369" t="s">
        <v>373</v>
      </c>
      <c r="C86" s="370">
        <f t="shared" si="2"/>
        <v>4700</v>
      </c>
      <c r="D86" s="369" t="s">
        <v>657</v>
      </c>
    </row>
    <row r="87" spans="1:4" x14ac:dyDescent="0.25">
      <c r="A87" s="369">
        <v>1086</v>
      </c>
      <c r="B87" s="369" t="s">
        <v>374</v>
      </c>
      <c r="C87" s="370">
        <f t="shared" si="2"/>
        <v>4700</v>
      </c>
      <c r="D87" s="369" t="s">
        <v>657</v>
      </c>
    </row>
    <row r="88" spans="1:4" x14ac:dyDescent="0.25">
      <c r="A88" s="369">
        <v>1087</v>
      </c>
      <c r="B88" s="369" t="s">
        <v>375</v>
      </c>
      <c r="C88" s="370">
        <f t="shared" si="2"/>
        <v>4700</v>
      </c>
      <c r="D88" s="369" t="s">
        <v>657</v>
      </c>
    </row>
    <row r="89" spans="1:4" x14ac:dyDescent="0.25">
      <c r="A89" s="369">
        <v>1088</v>
      </c>
      <c r="B89" s="369" t="s">
        <v>376</v>
      </c>
      <c r="C89" s="370">
        <f t="shared" si="2"/>
        <v>4700</v>
      </c>
      <c r="D89" s="369" t="s">
        <v>657</v>
      </c>
    </row>
    <row r="90" spans="1:4" x14ac:dyDescent="0.25">
      <c r="A90" s="369">
        <v>1089</v>
      </c>
      <c r="B90" s="369" t="s">
        <v>377</v>
      </c>
      <c r="C90" s="370">
        <f t="shared" si="2"/>
        <v>4700</v>
      </c>
      <c r="D90" s="369" t="s">
        <v>657</v>
      </c>
    </row>
    <row r="91" spans="1:4" x14ac:dyDescent="0.25">
      <c r="A91" s="369">
        <v>1090</v>
      </c>
      <c r="B91" s="369" t="s">
        <v>378</v>
      </c>
      <c r="C91" s="370">
        <f t="shared" si="2"/>
        <v>4700</v>
      </c>
      <c r="D91" s="369" t="s">
        <v>657</v>
      </c>
    </row>
    <row r="92" spans="1:4" x14ac:dyDescent="0.25">
      <c r="A92" s="369">
        <v>1091</v>
      </c>
      <c r="B92" s="369" t="s">
        <v>379</v>
      </c>
      <c r="C92" s="370">
        <f t="shared" si="2"/>
        <v>4700</v>
      </c>
      <c r="D92" s="369" t="s">
        <v>657</v>
      </c>
    </row>
    <row r="93" spans="1:4" x14ac:dyDescent="0.25">
      <c r="A93" s="369">
        <v>1092</v>
      </c>
      <c r="B93" s="369" t="s">
        <v>380</v>
      </c>
      <c r="C93" s="370">
        <f t="shared" si="2"/>
        <v>4700</v>
      </c>
      <c r="D93" s="369" t="s">
        <v>657</v>
      </c>
    </row>
    <row r="94" spans="1:4" x14ac:dyDescent="0.25">
      <c r="A94" s="369">
        <v>1093</v>
      </c>
      <c r="B94" s="369" t="s">
        <v>381</v>
      </c>
      <c r="C94" s="370">
        <v>3400</v>
      </c>
      <c r="D94" s="369" t="s">
        <v>657</v>
      </c>
    </row>
    <row r="95" spans="1:4" x14ac:dyDescent="0.25">
      <c r="A95" s="369">
        <v>1094</v>
      </c>
      <c r="B95" s="369" t="s">
        <v>382</v>
      </c>
      <c r="C95" s="370">
        <f t="shared" ref="C95:C102" si="3">+$C$94</f>
        <v>3400</v>
      </c>
      <c r="D95" s="369" t="s">
        <v>657</v>
      </c>
    </row>
    <row r="96" spans="1:4" x14ac:dyDescent="0.25">
      <c r="A96" s="369">
        <v>1095</v>
      </c>
      <c r="B96" s="369" t="s">
        <v>383</v>
      </c>
      <c r="C96" s="370">
        <f t="shared" si="3"/>
        <v>3400</v>
      </c>
      <c r="D96" s="369" t="s">
        <v>657</v>
      </c>
    </row>
    <row r="97" spans="1:4" x14ac:dyDescent="0.25">
      <c r="A97" s="369">
        <v>1096</v>
      </c>
      <c r="B97" s="369" t="s">
        <v>384</v>
      </c>
      <c r="C97" s="370">
        <f t="shared" si="3"/>
        <v>3400</v>
      </c>
      <c r="D97" s="369" t="s">
        <v>657</v>
      </c>
    </row>
    <row r="98" spans="1:4" x14ac:dyDescent="0.25">
      <c r="A98" s="369">
        <v>1097</v>
      </c>
      <c r="B98" s="369" t="s">
        <v>385</v>
      </c>
      <c r="C98" s="370">
        <f t="shared" si="3"/>
        <v>3400</v>
      </c>
      <c r="D98" s="369" t="s">
        <v>657</v>
      </c>
    </row>
    <row r="99" spans="1:4" x14ac:dyDescent="0.25">
      <c r="A99" s="369">
        <v>1098</v>
      </c>
      <c r="B99" s="369" t="s">
        <v>386</v>
      </c>
      <c r="C99" s="370">
        <f t="shared" si="3"/>
        <v>3400</v>
      </c>
      <c r="D99" s="369" t="s">
        <v>657</v>
      </c>
    </row>
    <row r="100" spans="1:4" x14ac:dyDescent="0.25">
      <c r="A100" s="369">
        <v>1099</v>
      </c>
      <c r="B100" s="369" t="s">
        <v>387</v>
      </c>
      <c r="C100" s="370">
        <f t="shared" si="3"/>
        <v>3400</v>
      </c>
      <c r="D100" s="369" t="s">
        <v>657</v>
      </c>
    </row>
    <row r="101" spans="1:4" x14ac:dyDescent="0.25">
      <c r="A101" s="369">
        <v>1100</v>
      </c>
      <c r="B101" s="369" t="s">
        <v>388</v>
      </c>
      <c r="C101" s="370">
        <f t="shared" si="3"/>
        <v>3400</v>
      </c>
      <c r="D101" s="369" t="s">
        <v>657</v>
      </c>
    </row>
    <row r="102" spans="1:4" x14ac:dyDescent="0.25">
      <c r="A102" s="369">
        <v>1101</v>
      </c>
      <c r="B102" s="369" t="s">
        <v>389</v>
      </c>
      <c r="C102" s="370">
        <f t="shared" si="3"/>
        <v>3400</v>
      </c>
      <c r="D102" s="369" t="s">
        <v>657</v>
      </c>
    </row>
    <row r="103" spans="1:4" x14ac:dyDescent="0.25">
      <c r="A103" s="369">
        <v>1102</v>
      </c>
      <c r="B103" s="369" t="s">
        <v>390</v>
      </c>
      <c r="C103" s="370">
        <v>2600</v>
      </c>
      <c r="D103" s="369" t="s">
        <v>657</v>
      </c>
    </row>
    <row r="104" spans="1:4" x14ac:dyDescent="0.25">
      <c r="A104" s="369">
        <v>1103</v>
      </c>
      <c r="B104" s="369" t="s">
        <v>391</v>
      </c>
      <c r="C104" s="370">
        <f t="shared" ref="C104:C110" si="4">+$C$103</f>
        <v>2600</v>
      </c>
      <c r="D104" s="369" t="s">
        <v>657</v>
      </c>
    </row>
    <row r="105" spans="1:4" x14ac:dyDescent="0.25">
      <c r="A105" s="369">
        <v>1104</v>
      </c>
      <c r="B105" s="369" t="s">
        <v>392</v>
      </c>
      <c r="C105" s="370">
        <f t="shared" si="4"/>
        <v>2600</v>
      </c>
      <c r="D105" s="369" t="s">
        <v>657</v>
      </c>
    </row>
    <row r="106" spans="1:4" x14ac:dyDescent="0.25">
      <c r="A106" s="369">
        <v>1105</v>
      </c>
      <c r="B106" s="369" t="s">
        <v>393</v>
      </c>
      <c r="C106" s="370">
        <f t="shared" si="4"/>
        <v>2600</v>
      </c>
      <c r="D106" s="369" t="s">
        <v>657</v>
      </c>
    </row>
    <row r="107" spans="1:4" x14ac:dyDescent="0.25">
      <c r="A107" s="369">
        <v>1106</v>
      </c>
      <c r="B107" s="369" t="s">
        <v>394</v>
      </c>
      <c r="C107" s="370">
        <f t="shared" si="4"/>
        <v>2600</v>
      </c>
      <c r="D107" s="369" t="s">
        <v>657</v>
      </c>
    </row>
    <row r="108" spans="1:4" x14ac:dyDescent="0.25">
      <c r="A108" s="369">
        <v>1107</v>
      </c>
      <c r="B108" s="369" t="s">
        <v>395</v>
      </c>
      <c r="C108" s="370">
        <f t="shared" si="4"/>
        <v>2600</v>
      </c>
      <c r="D108" s="369" t="s">
        <v>657</v>
      </c>
    </row>
    <row r="109" spans="1:4" x14ac:dyDescent="0.25">
      <c r="A109" s="369">
        <v>1108</v>
      </c>
      <c r="B109" s="369" t="s">
        <v>396</v>
      </c>
      <c r="C109" s="370">
        <f t="shared" si="4"/>
        <v>2600</v>
      </c>
      <c r="D109" s="369" t="s">
        <v>657</v>
      </c>
    </row>
    <row r="110" spans="1:4" ht="15.75" thickBot="1" x14ac:dyDescent="0.3">
      <c r="A110" s="372">
        <v>1109</v>
      </c>
      <c r="B110" s="372" t="s">
        <v>397</v>
      </c>
      <c r="C110" s="373">
        <f t="shared" si="4"/>
        <v>2600</v>
      </c>
      <c r="D110" s="372" t="s">
        <v>657</v>
      </c>
    </row>
    <row r="111" spans="1:4" x14ac:dyDescent="0.25">
      <c r="A111" s="407" t="s">
        <v>1146</v>
      </c>
      <c r="B111" s="408"/>
      <c r="C111" s="409">
        <f>SUM(C2:C110)</f>
        <v>544920</v>
      </c>
      <c r="D111" s="410"/>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tabColor theme="7" tint="-0.249977111117893"/>
  </sheetPr>
  <dimension ref="A1:E145"/>
  <sheetViews>
    <sheetView topLeftCell="A123" workbookViewId="0">
      <selection activeCell="E145" sqref="E145"/>
    </sheetView>
  </sheetViews>
  <sheetFormatPr baseColWidth="10" defaultRowHeight="15" x14ac:dyDescent="0.25"/>
  <cols>
    <col min="1" max="1" width="11.42578125" style="180"/>
    <col min="2" max="2" width="32.5703125" style="180" customWidth="1"/>
    <col min="3" max="3" width="17.140625" style="187" customWidth="1"/>
    <col min="4" max="4" width="20" style="187" customWidth="1"/>
    <col min="5" max="5" width="20.85546875" style="180" customWidth="1"/>
    <col min="6" max="16384" width="11.42578125" style="180"/>
  </cols>
  <sheetData>
    <row r="1" spans="1:5" s="178" customFormat="1" x14ac:dyDescent="0.25">
      <c r="A1" s="411" t="s">
        <v>284</v>
      </c>
      <c r="B1" s="411" t="s">
        <v>928</v>
      </c>
      <c r="C1" s="412" t="s">
        <v>929</v>
      </c>
      <c r="D1" s="413" t="s">
        <v>1121</v>
      </c>
      <c r="E1" s="414" t="s">
        <v>287</v>
      </c>
    </row>
    <row r="2" spans="1:5" s="178" customFormat="1" x14ac:dyDescent="0.25">
      <c r="A2" s="391"/>
      <c r="B2" s="391" t="s">
        <v>1124</v>
      </c>
      <c r="C2" s="392"/>
      <c r="D2" s="392"/>
      <c r="E2" s="375"/>
    </row>
    <row r="3" spans="1:5" x14ac:dyDescent="0.25">
      <c r="A3" s="393">
        <v>4001</v>
      </c>
      <c r="B3" s="393" t="s">
        <v>930</v>
      </c>
      <c r="C3" s="394">
        <v>4166.666666666667</v>
      </c>
      <c r="D3" s="394">
        <v>4833.333333333333</v>
      </c>
      <c r="E3" s="395" t="s">
        <v>1122</v>
      </c>
    </row>
    <row r="4" spans="1:5" x14ac:dyDescent="0.25">
      <c r="A4" s="393">
        <v>4002</v>
      </c>
      <c r="B4" s="393" t="s">
        <v>931</v>
      </c>
      <c r="C4" s="394">
        <v>4333.333333333333</v>
      </c>
      <c r="D4" s="394">
        <v>5333.333333333333</v>
      </c>
      <c r="E4" s="395" t="s">
        <v>1122</v>
      </c>
    </row>
    <row r="5" spans="1:5" x14ac:dyDescent="0.25">
      <c r="A5" s="393">
        <v>4003</v>
      </c>
      <c r="B5" s="393" t="s">
        <v>932</v>
      </c>
      <c r="C5" s="394">
        <v>3916.6666666666665</v>
      </c>
      <c r="D5" s="394">
        <v>4833.333333333333</v>
      </c>
      <c r="E5" s="395" t="s">
        <v>1122</v>
      </c>
    </row>
    <row r="6" spans="1:5" x14ac:dyDescent="0.25">
      <c r="A6" s="393">
        <v>4004</v>
      </c>
      <c r="B6" s="393" t="s">
        <v>933</v>
      </c>
      <c r="C6" s="394">
        <v>2583.3333333333335</v>
      </c>
      <c r="D6" s="394">
        <v>3166.6666666666665</v>
      </c>
      <c r="E6" s="395" t="s">
        <v>1122</v>
      </c>
    </row>
    <row r="7" spans="1:5" x14ac:dyDescent="0.25">
      <c r="A7" s="393">
        <v>4005</v>
      </c>
      <c r="B7" s="393" t="s">
        <v>934</v>
      </c>
      <c r="C7" s="394">
        <v>3500</v>
      </c>
      <c r="D7" s="394">
        <v>4166.666666666667</v>
      </c>
      <c r="E7" s="395" t="s">
        <v>1122</v>
      </c>
    </row>
    <row r="8" spans="1:5" x14ac:dyDescent="0.25">
      <c r="A8" s="393">
        <v>4006</v>
      </c>
      <c r="B8" s="393" t="s">
        <v>935</v>
      </c>
      <c r="C8" s="394">
        <v>4250</v>
      </c>
      <c r="D8" s="394">
        <v>4916.666666666667</v>
      </c>
      <c r="E8" s="395" t="s">
        <v>1122</v>
      </c>
    </row>
    <row r="9" spans="1:5" x14ac:dyDescent="0.25">
      <c r="A9" s="393">
        <v>4007</v>
      </c>
      <c r="B9" s="393" t="s">
        <v>936</v>
      </c>
      <c r="C9" s="394">
        <v>4916.666666666667</v>
      </c>
      <c r="D9" s="394">
        <f>36000/6</f>
        <v>6000</v>
      </c>
      <c r="E9" s="395" t="s">
        <v>1122</v>
      </c>
    </row>
    <row r="10" spans="1:5" x14ac:dyDescent="0.25">
      <c r="A10" s="393">
        <v>4008</v>
      </c>
      <c r="B10" s="393" t="s">
        <v>937</v>
      </c>
      <c r="C10" s="394">
        <f>46500/6</f>
        <v>7750</v>
      </c>
      <c r="D10" s="394">
        <f>57000/6</f>
        <v>9500</v>
      </c>
      <c r="E10" s="395" t="s">
        <v>1122</v>
      </c>
    </row>
    <row r="11" spans="1:5" x14ac:dyDescent="0.25">
      <c r="A11" s="393"/>
      <c r="B11" s="374" t="s">
        <v>1123</v>
      </c>
      <c r="C11" s="396"/>
      <c r="D11" s="396"/>
      <c r="E11" s="397"/>
    </row>
    <row r="12" spans="1:5" x14ac:dyDescent="0.25">
      <c r="A12" s="393">
        <v>4009</v>
      </c>
      <c r="B12" s="393" t="s">
        <v>938</v>
      </c>
      <c r="C12" s="394">
        <v>4500</v>
      </c>
      <c r="D12" s="394">
        <f>33000/6</f>
        <v>5500</v>
      </c>
      <c r="E12" s="395" t="s">
        <v>657</v>
      </c>
    </row>
    <row r="13" spans="1:5" x14ac:dyDescent="0.25">
      <c r="A13" s="393">
        <v>4010</v>
      </c>
      <c r="B13" s="393" t="s">
        <v>939</v>
      </c>
      <c r="C13" s="394">
        <v>5000</v>
      </c>
      <c r="D13" s="394">
        <f>40000/6</f>
        <v>6666.666666666667</v>
      </c>
      <c r="E13" s="395" t="s">
        <v>657</v>
      </c>
    </row>
    <row r="14" spans="1:5" x14ac:dyDescent="0.25">
      <c r="A14" s="393">
        <v>4011</v>
      </c>
      <c r="B14" s="393" t="s">
        <v>940</v>
      </c>
      <c r="C14" s="394">
        <v>4500</v>
      </c>
      <c r="D14" s="394">
        <f>33000/6</f>
        <v>5500</v>
      </c>
      <c r="E14" s="395" t="s">
        <v>657</v>
      </c>
    </row>
    <row r="15" spans="1:5" x14ac:dyDescent="0.25">
      <c r="A15" s="393">
        <v>4012</v>
      </c>
      <c r="B15" s="393" t="s">
        <v>941</v>
      </c>
      <c r="C15" s="394">
        <v>5000</v>
      </c>
      <c r="D15" s="394">
        <f>36500/6</f>
        <v>6083.333333333333</v>
      </c>
      <c r="E15" s="395" t="s">
        <v>657</v>
      </c>
    </row>
    <row r="16" spans="1:5" x14ac:dyDescent="0.25">
      <c r="A16" s="393">
        <v>4013</v>
      </c>
      <c r="B16" s="393" t="s">
        <v>942</v>
      </c>
      <c r="C16" s="394">
        <v>5250</v>
      </c>
      <c r="D16" s="394">
        <f>39000/6</f>
        <v>6500</v>
      </c>
      <c r="E16" s="395" t="s">
        <v>657</v>
      </c>
    </row>
    <row r="17" spans="1:5" x14ac:dyDescent="0.25">
      <c r="A17" s="393">
        <v>4014</v>
      </c>
      <c r="B17" s="393" t="s">
        <v>943</v>
      </c>
      <c r="C17" s="394">
        <v>3500</v>
      </c>
      <c r="D17" s="394">
        <v>4250</v>
      </c>
      <c r="E17" s="395" t="s">
        <v>657</v>
      </c>
    </row>
    <row r="18" spans="1:5" x14ac:dyDescent="0.25">
      <c r="A18" s="393">
        <v>4015</v>
      </c>
      <c r="B18" s="393" t="s">
        <v>944</v>
      </c>
      <c r="C18" s="394">
        <v>4500</v>
      </c>
      <c r="D18" s="394">
        <f>36000/6</f>
        <v>6000</v>
      </c>
      <c r="E18" s="395" t="s">
        <v>657</v>
      </c>
    </row>
    <row r="19" spans="1:5" x14ac:dyDescent="0.25">
      <c r="A19" s="393">
        <v>4016</v>
      </c>
      <c r="B19" s="393" t="s">
        <v>945</v>
      </c>
      <c r="C19" s="394">
        <v>2583.3333333333335</v>
      </c>
      <c r="D19" s="394">
        <v>3166.6666666666665</v>
      </c>
      <c r="E19" s="395" t="s">
        <v>657</v>
      </c>
    </row>
    <row r="20" spans="1:5" x14ac:dyDescent="0.25">
      <c r="A20" s="393"/>
      <c r="B20" s="374" t="s">
        <v>1125</v>
      </c>
      <c r="C20" s="396"/>
      <c r="D20" s="396"/>
      <c r="E20" s="397"/>
    </row>
    <row r="21" spans="1:5" x14ac:dyDescent="0.25">
      <c r="A21" s="393">
        <v>4017</v>
      </c>
      <c r="B21" s="393" t="s">
        <v>946</v>
      </c>
      <c r="C21" s="394">
        <v>3416.6666666666665</v>
      </c>
      <c r="D21" s="394">
        <f>25000/6</f>
        <v>4166.666666666667</v>
      </c>
      <c r="E21" s="395" t="s">
        <v>657</v>
      </c>
    </row>
    <row r="22" spans="1:5" x14ac:dyDescent="0.25">
      <c r="A22" s="393">
        <v>4018</v>
      </c>
      <c r="B22" s="393" t="s">
        <v>947</v>
      </c>
      <c r="C22" s="394">
        <v>4416.666666666667</v>
      </c>
      <c r="D22" s="394">
        <v>5333.333333333333</v>
      </c>
      <c r="E22" s="395" t="s">
        <v>657</v>
      </c>
    </row>
    <row r="23" spans="1:5" x14ac:dyDescent="0.25">
      <c r="A23" s="393">
        <v>4019</v>
      </c>
      <c r="B23" s="393" t="s">
        <v>948</v>
      </c>
      <c r="C23" s="394">
        <v>3000</v>
      </c>
      <c r="D23" s="394">
        <v>3666.6666666666665</v>
      </c>
      <c r="E23" s="395" t="s">
        <v>657</v>
      </c>
    </row>
    <row r="24" spans="1:5" x14ac:dyDescent="0.25">
      <c r="A24" s="393">
        <v>4020</v>
      </c>
      <c r="B24" s="393" t="s">
        <v>949</v>
      </c>
      <c r="C24" s="394">
        <f>36000/6</f>
        <v>6000</v>
      </c>
      <c r="D24" s="394">
        <f>44000/6</f>
        <v>7333.333333333333</v>
      </c>
      <c r="E24" s="395" t="s">
        <v>657</v>
      </c>
    </row>
    <row r="25" spans="1:5" x14ac:dyDescent="0.25">
      <c r="A25" s="393">
        <v>4021</v>
      </c>
      <c r="B25" s="393" t="s">
        <v>950</v>
      </c>
      <c r="C25" s="394">
        <v>2000</v>
      </c>
      <c r="D25" s="394">
        <v>2500</v>
      </c>
      <c r="E25" s="395" t="s">
        <v>657</v>
      </c>
    </row>
    <row r="26" spans="1:5" x14ac:dyDescent="0.25">
      <c r="A26" s="393">
        <v>4022</v>
      </c>
      <c r="B26" s="393" t="s">
        <v>951</v>
      </c>
      <c r="C26" s="394">
        <f>41000/6</f>
        <v>6833.333333333333</v>
      </c>
      <c r="D26" s="394">
        <f>50000/6</f>
        <v>8333.3333333333339</v>
      </c>
      <c r="E26" s="395" t="s">
        <v>657</v>
      </c>
    </row>
    <row r="27" spans="1:5" x14ac:dyDescent="0.25">
      <c r="A27" s="393">
        <v>4023</v>
      </c>
      <c r="B27" s="393" t="s">
        <v>952</v>
      </c>
      <c r="C27" s="394">
        <v>2833.3333333333335</v>
      </c>
      <c r="D27" s="394">
        <v>3000</v>
      </c>
      <c r="E27" s="395" t="s">
        <v>657</v>
      </c>
    </row>
    <row r="28" spans="1:5" x14ac:dyDescent="0.25">
      <c r="A28" s="393">
        <v>4024</v>
      </c>
      <c r="B28" s="393" t="s">
        <v>953</v>
      </c>
      <c r="C28" s="394">
        <f>36500/6</f>
        <v>6083.333333333333</v>
      </c>
      <c r="D28" s="394">
        <f>50000/6</f>
        <v>8333.3333333333339</v>
      </c>
      <c r="E28" s="395" t="s">
        <v>657</v>
      </c>
    </row>
    <row r="29" spans="1:5" x14ac:dyDescent="0.25">
      <c r="A29" s="393">
        <v>4025</v>
      </c>
      <c r="B29" s="393" t="s">
        <v>954</v>
      </c>
      <c r="C29" s="394">
        <f>45000/6</f>
        <v>7500</v>
      </c>
      <c r="D29" s="394">
        <f>48000/6</f>
        <v>8000</v>
      </c>
      <c r="E29" s="395" t="s">
        <v>657</v>
      </c>
    </row>
    <row r="30" spans="1:5" x14ac:dyDescent="0.25">
      <c r="A30" s="393">
        <v>4026</v>
      </c>
      <c r="B30" s="393" t="s">
        <v>955</v>
      </c>
      <c r="C30" s="394">
        <v>2750</v>
      </c>
      <c r="D30" s="394">
        <v>3000</v>
      </c>
      <c r="E30" s="395" t="s">
        <v>657</v>
      </c>
    </row>
    <row r="31" spans="1:5" x14ac:dyDescent="0.25">
      <c r="A31" s="393"/>
      <c r="B31" s="374" t="s">
        <v>1126</v>
      </c>
      <c r="C31" s="396"/>
      <c r="D31" s="396"/>
      <c r="E31" s="397"/>
    </row>
    <row r="32" spans="1:5" x14ac:dyDescent="0.25">
      <c r="A32" s="393">
        <v>4027</v>
      </c>
      <c r="B32" s="393" t="s">
        <v>956</v>
      </c>
      <c r="C32" s="396">
        <f>43000/6</f>
        <v>7166.666666666667</v>
      </c>
      <c r="D32" s="394">
        <f>52500/6</f>
        <v>8750</v>
      </c>
      <c r="E32" s="395" t="s">
        <v>657</v>
      </c>
    </row>
    <row r="33" spans="1:5" x14ac:dyDescent="0.25">
      <c r="A33" s="393">
        <v>4028</v>
      </c>
      <c r="B33" s="393" t="s">
        <v>957</v>
      </c>
      <c r="C33" s="396">
        <f>43000/6</f>
        <v>7166.666666666667</v>
      </c>
      <c r="D33" s="394">
        <f>52000/6</f>
        <v>8666.6666666666661</v>
      </c>
      <c r="E33" s="395" t="s">
        <v>657</v>
      </c>
    </row>
    <row r="34" spans="1:5" x14ac:dyDescent="0.25">
      <c r="A34" s="393">
        <v>4029</v>
      </c>
      <c r="B34" s="393" t="s">
        <v>958</v>
      </c>
      <c r="C34" s="396">
        <f>41000/6</f>
        <v>6833.333333333333</v>
      </c>
      <c r="D34" s="394">
        <f>51000/6</f>
        <v>8500</v>
      </c>
      <c r="E34" s="395" t="s">
        <v>657</v>
      </c>
    </row>
    <row r="35" spans="1:5" x14ac:dyDescent="0.25">
      <c r="A35" s="393">
        <v>4030</v>
      </c>
      <c r="B35" s="398" t="s">
        <v>1128</v>
      </c>
      <c r="C35" s="396">
        <f>39000/6</f>
        <v>6500</v>
      </c>
      <c r="D35" s="394">
        <f>46000/6</f>
        <v>7666.666666666667</v>
      </c>
      <c r="E35" s="395" t="s">
        <v>657</v>
      </c>
    </row>
    <row r="36" spans="1:5" x14ac:dyDescent="0.25">
      <c r="A36" s="393">
        <v>4031</v>
      </c>
      <c r="B36" s="393" t="s">
        <v>959</v>
      </c>
      <c r="C36" s="396">
        <f>50000/6</f>
        <v>8333.3333333333339</v>
      </c>
      <c r="D36" s="394">
        <f>61000/6</f>
        <v>10166.666666666666</v>
      </c>
      <c r="E36" s="395" t="s">
        <v>657</v>
      </c>
    </row>
    <row r="37" spans="1:5" x14ac:dyDescent="0.25">
      <c r="A37" s="393">
        <v>4032</v>
      </c>
      <c r="B37" s="393" t="s">
        <v>960</v>
      </c>
      <c r="C37" s="394">
        <v>2833.3333333333335</v>
      </c>
      <c r="D37" s="394">
        <f>56000/6</f>
        <v>9333.3333333333339</v>
      </c>
      <c r="E37" s="395" t="s">
        <v>657</v>
      </c>
    </row>
    <row r="38" spans="1:5" x14ac:dyDescent="0.25">
      <c r="A38" s="393">
        <v>4033</v>
      </c>
      <c r="B38" s="393" t="s">
        <v>961</v>
      </c>
      <c r="C38" s="394">
        <f>47000/6</f>
        <v>7833.333333333333</v>
      </c>
      <c r="D38" s="394">
        <f>54000/6</f>
        <v>9000</v>
      </c>
      <c r="E38" s="395" t="s">
        <v>657</v>
      </c>
    </row>
    <row r="39" spans="1:5" x14ac:dyDescent="0.25">
      <c r="A39" s="393">
        <v>4034</v>
      </c>
      <c r="B39" s="393" t="s">
        <v>962</v>
      </c>
      <c r="C39" s="394">
        <v>2833.3333333333335</v>
      </c>
      <c r="D39" s="394">
        <v>3333.3333333333335</v>
      </c>
      <c r="E39" s="395" t="s">
        <v>657</v>
      </c>
    </row>
    <row r="40" spans="1:5" x14ac:dyDescent="0.25">
      <c r="A40" s="393">
        <v>4035</v>
      </c>
      <c r="B40" s="393" t="s">
        <v>963</v>
      </c>
      <c r="C40" s="396">
        <f>70000/6</f>
        <v>11666.666666666666</v>
      </c>
      <c r="D40" s="394">
        <f>83000/6</f>
        <v>13833.333333333334</v>
      </c>
      <c r="E40" s="395" t="s">
        <v>657</v>
      </c>
    </row>
    <row r="41" spans="1:5" x14ac:dyDescent="0.25">
      <c r="A41" s="393">
        <v>4036</v>
      </c>
      <c r="B41" s="393" t="s">
        <v>964</v>
      </c>
      <c r="C41" s="396">
        <f>76000/6</f>
        <v>12666.666666666666</v>
      </c>
      <c r="D41" s="394">
        <f>91500/6</f>
        <v>15250</v>
      </c>
      <c r="E41" s="395" t="s">
        <v>657</v>
      </c>
    </row>
    <row r="42" spans="1:5" x14ac:dyDescent="0.25">
      <c r="A42" s="393">
        <v>4037</v>
      </c>
      <c r="B42" s="393" t="s">
        <v>965</v>
      </c>
      <c r="C42" s="396">
        <f>65000/6</f>
        <v>10833.333333333334</v>
      </c>
      <c r="D42" s="394">
        <f>79000/6</f>
        <v>13166.666666666666</v>
      </c>
      <c r="E42" s="395" t="s">
        <v>657</v>
      </c>
    </row>
    <row r="43" spans="1:5" x14ac:dyDescent="0.25">
      <c r="A43" s="393"/>
      <c r="B43" s="374" t="s">
        <v>1127</v>
      </c>
      <c r="C43" s="396"/>
      <c r="D43" s="396"/>
      <c r="E43" s="397"/>
    </row>
    <row r="44" spans="1:5" x14ac:dyDescent="0.25">
      <c r="A44" s="393">
        <v>4038</v>
      </c>
      <c r="B44" s="393" t="s">
        <v>966</v>
      </c>
      <c r="C44" s="394">
        <v>2666.6666666666665</v>
      </c>
      <c r="D44" s="394">
        <v>3333.3333333333335</v>
      </c>
      <c r="E44" s="395" t="s">
        <v>657</v>
      </c>
    </row>
    <row r="45" spans="1:5" x14ac:dyDescent="0.25">
      <c r="A45" s="393">
        <v>4039</v>
      </c>
      <c r="B45" s="393" t="s">
        <v>967</v>
      </c>
      <c r="C45" s="394">
        <v>3666.6666666666665</v>
      </c>
      <c r="D45" s="394">
        <v>4500</v>
      </c>
      <c r="E45" s="395" t="s">
        <v>657</v>
      </c>
    </row>
    <row r="46" spans="1:5" x14ac:dyDescent="0.25">
      <c r="A46" s="393">
        <v>4040</v>
      </c>
      <c r="B46" s="393" t="s">
        <v>968</v>
      </c>
      <c r="C46" s="394">
        <f>50000/6</f>
        <v>8333.3333333333339</v>
      </c>
      <c r="D46" s="394">
        <f>63000/6</f>
        <v>10500</v>
      </c>
      <c r="E46" s="395" t="s">
        <v>657</v>
      </c>
    </row>
    <row r="47" spans="1:5" x14ac:dyDescent="0.25">
      <c r="A47" s="393">
        <v>4041</v>
      </c>
      <c r="B47" s="393" t="s">
        <v>969</v>
      </c>
      <c r="C47" s="394">
        <f>37500/6</f>
        <v>6250</v>
      </c>
      <c r="D47" s="394">
        <f>46000/6</f>
        <v>7666.666666666667</v>
      </c>
      <c r="E47" s="395" t="s">
        <v>657</v>
      </c>
    </row>
    <row r="48" spans="1:5" x14ac:dyDescent="0.25">
      <c r="A48" s="393">
        <v>4042</v>
      </c>
      <c r="B48" s="393" t="s">
        <v>970</v>
      </c>
      <c r="C48" s="394">
        <v>1750</v>
      </c>
      <c r="D48" s="394">
        <v>2250</v>
      </c>
      <c r="E48" s="395" t="s">
        <v>657</v>
      </c>
    </row>
    <row r="49" spans="1:5" x14ac:dyDescent="0.25">
      <c r="A49" s="393"/>
      <c r="B49" s="374" t="s">
        <v>1129</v>
      </c>
      <c r="C49" s="396"/>
      <c r="D49" s="396"/>
      <c r="E49" s="397"/>
    </row>
    <row r="50" spans="1:5" x14ac:dyDescent="0.25">
      <c r="A50" s="393">
        <v>4043</v>
      </c>
      <c r="B50" s="393" t="s">
        <v>971</v>
      </c>
      <c r="C50" s="394">
        <v>5083.333333333333</v>
      </c>
      <c r="D50" s="396">
        <v>0</v>
      </c>
      <c r="E50" s="395" t="s">
        <v>657</v>
      </c>
    </row>
    <row r="51" spans="1:5" x14ac:dyDescent="0.25">
      <c r="A51" s="393">
        <v>4044</v>
      </c>
      <c r="B51" s="393" t="s">
        <v>972</v>
      </c>
      <c r="C51" s="394">
        <v>1750</v>
      </c>
      <c r="D51" s="394">
        <v>2166.6666666666665</v>
      </c>
      <c r="E51" s="395" t="s">
        <v>657</v>
      </c>
    </row>
    <row r="52" spans="1:5" x14ac:dyDescent="0.25">
      <c r="A52" s="393">
        <v>4045</v>
      </c>
      <c r="B52" s="393" t="s">
        <v>973</v>
      </c>
      <c r="C52" s="394">
        <v>916.66666666666663</v>
      </c>
      <c r="D52" s="394">
        <v>1166.6666666666667</v>
      </c>
      <c r="E52" s="395" t="s">
        <v>657</v>
      </c>
    </row>
    <row r="53" spans="1:5" x14ac:dyDescent="0.25">
      <c r="A53" s="393">
        <v>4046</v>
      </c>
      <c r="B53" s="393" t="s">
        <v>974</v>
      </c>
      <c r="C53" s="394">
        <f>41000/6</f>
        <v>6833.333333333333</v>
      </c>
      <c r="D53" s="396">
        <v>0</v>
      </c>
      <c r="E53" s="395" t="s">
        <v>657</v>
      </c>
    </row>
    <row r="54" spans="1:5" x14ac:dyDescent="0.25">
      <c r="A54" s="393">
        <v>4047</v>
      </c>
      <c r="B54" s="393" t="s">
        <v>975</v>
      </c>
      <c r="C54" s="394">
        <f>49000/6</f>
        <v>8166.666666666667</v>
      </c>
      <c r="D54" s="396">
        <v>0</v>
      </c>
      <c r="E54" s="395" t="s">
        <v>657</v>
      </c>
    </row>
    <row r="55" spans="1:5" x14ac:dyDescent="0.25">
      <c r="A55" s="393">
        <v>4048</v>
      </c>
      <c r="B55" s="393" t="s">
        <v>976</v>
      </c>
      <c r="C55" s="394">
        <f>68000/6</f>
        <v>11333.333333333334</v>
      </c>
      <c r="D55" s="396">
        <v>0</v>
      </c>
      <c r="E55" s="395" t="s">
        <v>657</v>
      </c>
    </row>
    <row r="56" spans="1:5" x14ac:dyDescent="0.25">
      <c r="A56" s="393">
        <v>4049</v>
      </c>
      <c r="B56" s="393" t="s">
        <v>977</v>
      </c>
      <c r="C56" s="394">
        <v>1500</v>
      </c>
      <c r="D56" s="396">
        <v>0</v>
      </c>
      <c r="E56" s="395" t="s">
        <v>657</v>
      </c>
    </row>
    <row r="57" spans="1:5" x14ac:dyDescent="0.25">
      <c r="A57" s="393"/>
      <c r="B57" s="374" t="s">
        <v>1130</v>
      </c>
      <c r="C57" s="394"/>
      <c r="D57" s="396"/>
      <c r="E57" s="397"/>
    </row>
    <row r="58" spans="1:5" x14ac:dyDescent="0.25">
      <c r="A58" s="393">
        <v>4050</v>
      </c>
      <c r="B58" s="393" t="s">
        <v>978</v>
      </c>
      <c r="C58" s="394">
        <f>46000/6</f>
        <v>7666.666666666667</v>
      </c>
      <c r="D58" s="394">
        <v>833.33333333333337</v>
      </c>
      <c r="E58" s="395" t="s">
        <v>657</v>
      </c>
    </row>
    <row r="59" spans="1:5" x14ac:dyDescent="0.25">
      <c r="A59" s="393">
        <v>4051</v>
      </c>
      <c r="B59" s="393" t="s">
        <v>979</v>
      </c>
      <c r="C59" s="394">
        <f>53000/6</f>
        <v>8833.3333333333339</v>
      </c>
      <c r="D59" s="394">
        <f>49000/6</f>
        <v>8166.666666666667</v>
      </c>
      <c r="E59" s="395" t="s">
        <v>657</v>
      </c>
    </row>
    <row r="60" spans="1:5" x14ac:dyDescent="0.25">
      <c r="A60" s="393">
        <v>4052</v>
      </c>
      <c r="B60" s="393" t="s">
        <v>980</v>
      </c>
      <c r="C60" s="394">
        <f>60000/6</f>
        <v>10000</v>
      </c>
      <c r="D60" s="394">
        <f>68000/6</f>
        <v>11333.333333333334</v>
      </c>
      <c r="E60" s="395" t="s">
        <v>657</v>
      </c>
    </row>
    <row r="61" spans="1:5" x14ac:dyDescent="0.25">
      <c r="A61" s="393">
        <v>4053</v>
      </c>
      <c r="B61" s="393" t="s">
        <v>981</v>
      </c>
      <c r="C61" s="394">
        <v>4166.666666666667</v>
      </c>
      <c r="D61" s="394">
        <f>30000/6</f>
        <v>5000</v>
      </c>
      <c r="E61" s="395" t="s">
        <v>657</v>
      </c>
    </row>
    <row r="62" spans="1:5" x14ac:dyDescent="0.25">
      <c r="A62" s="393">
        <v>4054</v>
      </c>
      <c r="B62" s="393" t="s">
        <v>982</v>
      </c>
      <c r="C62" s="394">
        <f>40000/6</f>
        <v>6666.666666666667</v>
      </c>
      <c r="D62" s="394">
        <f>39000/6</f>
        <v>6500</v>
      </c>
      <c r="E62" s="395" t="s">
        <v>657</v>
      </c>
    </row>
    <row r="63" spans="1:5" x14ac:dyDescent="0.25">
      <c r="A63" s="393"/>
      <c r="B63" s="374" t="s">
        <v>1131</v>
      </c>
      <c r="C63" s="396"/>
      <c r="D63" s="394"/>
      <c r="E63" s="397"/>
    </row>
    <row r="64" spans="1:5" x14ac:dyDescent="0.25">
      <c r="A64" s="393">
        <v>4055</v>
      </c>
      <c r="B64" s="393" t="s">
        <v>983</v>
      </c>
      <c r="C64" s="394">
        <v>1333.3333333333333</v>
      </c>
      <c r="D64" s="394">
        <v>1666.6666666666667</v>
      </c>
      <c r="E64" s="395" t="s">
        <v>657</v>
      </c>
    </row>
    <row r="65" spans="1:5" x14ac:dyDescent="0.25">
      <c r="A65" s="393">
        <v>4056</v>
      </c>
      <c r="B65" s="393" t="s">
        <v>984</v>
      </c>
      <c r="C65" s="394">
        <v>1666.6666666666667</v>
      </c>
      <c r="D65" s="394">
        <v>1833.3333333333333</v>
      </c>
      <c r="E65" s="395" t="s">
        <v>657</v>
      </c>
    </row>
    <row r="66" spans="1:5" x14ac:dyDescent="0.25">
      <c r="A66" s="393">
        <v>4057</v>
      </c>
      <c r="B66" s="393" t="s">
        <v>985</v>
      </c>
      <c r="C66" s="394">
        <f>35000/6</f>
        <v>5833.333333333333</v>
      </c>
      <c r="D66" s="394">
        <f>57500/6</f>
        <v>9583.3333333333339</v>
      </c>
      <c r="E66" s="395" t="s">
        <v>657</v>
      </c>
    </row>
    <row r="67" spans="1:5" x14ac:dyDescent="0.25">
      <c r="A67" s="393">
        <v>4058</v>
      </c>
      <c r="B67" s="393" t="s">
        <v>986</v>
      </c>
      <c r="C67" s="394">
        <v>5333.333333333333</v>
      </c>
      <c r="D67" s="394">
        <f>39000/6</f>
        <v>6500</v>
      </c>
      <c r="E67" s="395" t="s">
        <v>657</v>
      </c>
    </row>
    <row r="68" spans="1:5" x14ac:dyDescent="0.25">
      <c r="A68" s="393">
        <v>4059</v>
      </c>
      <c r="B68" s="466" t="s">
        <v>1192</v>
      </c>
      <c r="C68" s="394">
        <f>40000/6</f>
        <v>6666.666666666667</v>
      </c>
      <c r="D68" s="394">
        <f>45000/6</f>
        <v>7500</v>
      </c>
      <c r="E68" s="395" t="s">
        <v>657</v>
      </c>
    </row>
    <row r="69" spans="1:5" x14ac:dyDescent="0.25">
      <c r="A69" s="393">
        <v>4060</v>
      </c>
      <c r="B69" s="393" t="s">
        <v>987</v>
      </c>
      <c r="C69" s="394">
        <f>43000/6</f>
        <v>7166.666666666667</v>
      </c>
      <c r="D69" s="394">
        <f>53000/6</f>
        <v>8833.3333333333339</v>
      </c>
      <c r="E69" s="395" t="s">
        <v>657</v>
      </c>
    </row>
    <row r="70" spans="1:5" x14ac:dyDescent="0.25">
      <c r="A70" s="393">
        <v>4061</v>
      </c>
      <c r="B70" s="393" t="s">
        <v>988</v>
      </c>
      <c r="C70" s="394">
        <f>85000/6</f>
        <v>14166.666666666666</v>
      </c>
      <c r="D70" s="394">
        <f>86000/6</f>
        <v>14333.333333333334</v>
      </c>
      <c r="E70" s="395" t="s">
        <v>657</v>
      </c>
    </row>
    <row r="71" spans="1:5" x14ac:dyDescent="0.25">
      <c r="A71" s="393"/>
      <c r="B71" s="374" t="s">
        <v>1132</v>
      </c>
      <c r="C71" s="396"/>
      <c r="D71" s="396"/>
      <c r="E71" s="397"/>
    </row>
    <row r="72" spans="1:5" x14ac:dyDescent="0.25">
      <c r="A72" s="393">
        <v>4062</v>
      </c>
      <c r="B72" s="393" t="s">
        <v>989</v>
      </c>
      <c r="C72" s="394">
        <f>37000/6</f>
        <v>6166.666666666667</v>
      </c>
      <c r="D72" s="394">
        <f>41500/6</f>
        <v>6916.666666666667</v>
      </c>
      <c r="E72" s="395" t="s">
        <v>657</v>
      </c>
    </row>
    <row r="73" spans="1:5" x14ac:dyDescent="0.25">
      <c r="A73" s="393">
        <v>4063</v>
      </c>
      <c r="B73" s="393" t="s">
        <v>990</v>
      </c>
      <c r="C73" s="394">
        <f>49000/6</f>
        <v>8166.666666666667</v>
      </c>
      <c r="D73" s="394">
        <f>46500/6</f>
        <v>7750</v>
      </c>
      <c r="E73" s="395" t="s">
        <v>657</v>
      </c>
    </row>
    <row r="74" spans="1:5" x14ac:dyDescent="0.25">
      <c r="A74" s="393">
        <v>4064</v>
      </c>
      <c r="B74" s="393" t="s">
        <v>991</v>
      </c>
      <c r="C74" s="394">
        <v>3000</v>
      </c>
      <c r="D74" s="394">
        <v>3416.6666666666665</v>
      </c>
      <c r="E74" s="395" t="s">
        <v>657</v>
      </c>
    </row>
    <row r="75" spans="1:5" x14ac:dyDescent="0.25">
      <c r="A75" s="393">
        <v>4065</v>
      </c>
      <c r="B75" s="393" t="s">
        <v>992</v>
      </c>
      <c r="C75" s="394">
        <v>3000</v>
      </c>
      <c r="D75" s="394">
        <v>3415.67</v>
      </c>
      <c r="E75" s="395" t="s">
        <v>657</v>
      </c>
    </row>
    <row r="76" spans="1:5" x14ac:dyDescent="0.25">
      <c r="A76" s="393">
        <v>4066</v>
      </c>
      <c r="B76" s="393" t="s">
        <v>993</v>
      </c>
      <c r="C76" s="394">
        <v>4583.333333333333</v>
      </c>
      <c r="D76" s="394">
        <v>5166.666666666667</v>
      </c>
      <c r="E76" s="395" t="s">
        <v>657</v>
      </c>
    </row>
    <row r="77" spans="1:5" x14ac:dyDescent="0.25">
      <c r="A77" s="393">
        <v>4067</v>
      </c>
      <c r="B77" s="393" t="s">
        <v>994</v>
      </c>
      <c r="C77" s="394">
        <v>5416.666666666667</v>
      </c>
      <c r="D77" s="394">
        <f>36000/6</f>
        <v>6000</v>
      </c>
      <c r="E77" s="395" t="s">
        <v>657</v>
      </c>
    </row>
    <row r="78" spans="1:5" x14ac:dyDescent="0.25">
      <c r="A78" s="393">
        <v>4068</v>
      </c>
      <c r="B78" s="393" t="s">
        <v>995</v>
      </c>
      <c r="C78" s="394">
        <v>4666.666666666667</v>
      </c>
      <c r="D78" s="394">
        <v>5166.666666666667</v>
      </c>
      <c r="E78" s="395" t="s">
        <v>657</v>
      </c>
    </row>
    <row r="79" spans="1:5" x14ac:dyDescent="0.25">
      <c r="A79" s="393">
        <v>4069</v>
      </c>
      <c r="B79" s="393" t="s">
        <v>996</v>
      </c>
      <c r="C79" s="394">
        <v>3333.3333333333335</v>
      </c>
      <c r="D79" s="394">
        <v>3333.3333333333335</v>
      </c>
      <c r="E79" s="395" t="s">
        <v>657</v>
      </c>
    </row>
    <row r="80" spans="1:5" x14ac:dyDescent="0.25">
      <c r="A80" s="393">
        <v>4070</v>
      </c>
      <c r="B80" s="393" t="s">
        <v>997</v>
      </c>
      <c r="C80" s="394">
        <f>35000/6</f>
        <v>5833.333333333333</v>
      </c>
      <c r="D80" s="394">
        <f>38500/6</f>
        <v>6416.666666666667</v>
      </c>
      <c r="E80" s="395" t="s">
        <v>657</v>
      </c>
    </row>
    <row r="81" spans="1:5" x14ac:dyDescent="0.25">
      <c r="A81" s="393">
        <v>4071</v>
      </c>
      <c r="B81" s="393" t="s">
        <v>998</v>
      </c>
      <c r="C81" s="394">
        <f>55000/6</f>
        <v>9166.6666666666661</v>
      </c>
      <c r="D81" s="394">
        <f>61500/6</f>
        <v>10250</v>
      </c>
      <c r="E81" s="395" t="s">
        <v>657</v>
      </c>
    </row>
    <row r="82" spans="1:5" x14ac:dyDescent="0.25">
      <c r="A82" s="393">
        <v>4072</v>
      </c>
      <c r="B82" s="393" t="s">
        <v>999</v>
      </c>
      <c r="C82" s="394">
        <f>86000/6</f>
        <v>14333.333333333334</v>
      </c>
      <c r="D82" s="394">
        <f>96000/6</f>
        <v>16000</v>
      </c>
      <c r="E82" s="395" t="s">
        <v>657</v>
      </c>
    </row>
    <row r="83" spans="1:5" x14ac:dyDescent="0.25">
      <c r="A83" s="393">
        <v>4073</v>
      </c>
      <c r="B83" s="393" t="s">
        <v>1000</v>
      </c>
      <c r="C83" s="394">
        <f>72000/6</f>
        <v>12000</v>
      </c>
      <c r="D83" s="396">
        <f>72500/6</f>
        <v>12083.333333333334</v>
      </c>
      <c r="E83" s="395" t="s">
        <v>657</v>
      </c>
    </row>
    <row r="84" spans="1:5" x14ac:dyDescent="0.25">
      <c r="A84" s="393">
        <v>4074</v>
      </c>
      <c r="B84" s="393" t="s">
        <v>1001</v>
      </c>
      <c r="C84" s="394">
        <f>77000/6</f>
        <v>12833.333333333334</v>
      </c>
      <c r="D84" s="396">
        <f>81000/6</f>
        <v>13500</v>
      </c>
      <c r="E84" s="395" t="s">
        <v>657</v>
      </c>
    </row>
    <row r="85" spans="1:5" x14ac:dyDescent="0.25">
      <c r="A85" s="393">
        <v>4075</v>
      </c>
      <c r="B85" s="393" t="s">
        <v>1002</v>
      </c>
      <c r="C85" s="394">
        <f>65000/6</f>
        <v>10833.333333333334</v>
      </c>
      <c r="D85" s="396">
        <f>74000/6</f>
        <v>12333.333333333334</v>
      </c>
      <c r="E85" s="395" t="s">
        <v>657</v>
      </c>
    </row>
    <row r="86" spans="1:5" x14ac:dyDescent="0.25">
      <c r="A86" s="393">
        <v>4076</v>
      </c>
      <c r="B86" s="393" t="s">
        <v>1003</v>
      </c>
      <c r="C86" s="394">
        <f>103000/6</f>
        <v>17166.666666666668</v>
      </c>
      <c r="D86" s="396">
        <f>113000/6</f>
        <v>18833.333333333332</v>
      </c>
      <c r="E86" s="395" t="s">
        <v>657</v>
      </c>
    </row>
    <row r="87" spans="1:5" x14ac:dyDescent="0.25">
      <c r="A87" s="393">
        <v>4077</v>
      </c>
      <c r="B87" s="393" t="s">
        <v>1004</v>
      </c>
      <c r="C87" s="394">
        <f>55000/6</f>
        <v>9166.6666666666661</v>
      </c>
      <c r="D87" s="396">
        <f>61000/6</f>
        <v>10166.666666666666</v>
      </c>
      <c r="E87" s="395" t="s">
        <v>657</v>
      </c>
    </row>
    <row r="88" spans="1:5" x14ac:dyDescent="0.25">
      <c r="A88" s="393">
        <v>4078</v>
      </c>
      <c r="B88" s="393" t="s">
        <v>1005</v>
      </c>
      <c r="C88" s="394">
        <f>66000/6</f>
        <v>11000</v>
      </c>
      <c r="D88" s="396">
        <f>75000/6</f>
        <v>12500</v>
      </c>
      <c r="E88" s="395" t="s">
        <v>657</v>
      </c>
    </row>
    <row r="89" spans="1:5" x14ac:dyDescent="0.25">
      <c r="A89" s="393">
        <v>4079</v>
      </c>
      <c r="B89" s="393" t="s">
        <v>1006</v>
      </c>
      <c r="C89" s="394">
        <f>69000/6</f>
        <v>11500</v>
      </c>
      <c r="D89" s="396">
        <f>64000/6</f>
        <v>10666.666666666666</v>
      </c>
      <c r="E89" s="395" t="s">
        <v>657</v>
      </c>
    </row>
    <row r="90" spans="1:5" x14ac:dyDescent="0.25">
      <c r="A90" s="393">
        <v>4080</v>
      </c>
      <c r="B90" s="393" t="s">
        <v>1007</v>
      </c>
      <c r="C90" s="394">
        <v>1500</v>
      </c>
      <c r="D90" s="396">
        <v>0</v>
      </c>
      <c r="E90" s="395" t="s">
        <v>657</v>
      </c>
    </row>
    <row r="91" spans="1:5" x14ac:dyDescent="0.25">
      <c r="A91" s="393">
        <v>4081</v>
      </c>
      <c r="B91" s="393" t="s">
        <v>1008</v>
      </c>
      <c r="C91" s="394">
        <v>2500</v>
      </c>
      <c r="D91" s="396">
        <v>0</v>
      </c>
      <c r="E91" s="395" t="s">
        <v>657</v>
      </c>
    </row>
    <row r="92" spans="1:5" x14ac:dyDescent="0.25">
      <c r="A92" s="393">
        <v>4082</v>
      </c>
      <c r="B92" s="393" t="s">
        <v>1009</v>
      </c>
      <c r="C92" s="394">
        <v>3500</v>
      </c>
      <c r="D92" s="396">
        <v>0</v>
      </c>
      <c r="E92" s="395" t="s">
        <v>657</v>
      </c>
    </row>
    <row r="93" spans="1:5" x14ac:dyDescent="0.25">
      <c r="A93" s="393"/>
      <c r="B93" s="399" t="s">
        <v>1133</v>
      </c>
      <c r="C93" s="396"/>
      <c r="D93" s="396"/>
      <c r="E93" s="397"/>
    </row>
    <row r="94" spans="1:5" x14ac:dyDescent="0.25">
      <c r="A94" s="393">
        <v>4083</v>
      </c>
      <c r="B94" s="393" t="s">
        <v>1010</v>
      </c>
      <c r="C94" s="396">
        <v>144000</v>
      </c>
      <c r="D94" s="396">
        <v>156500</v>
      </c>
      <c r="E94" s="395" t="s">
        <v>290</v>
      </c>
    </row>
    <row r="95" spans="1:5" x14ac:dyDescent="0.25">
      <c r="A95" s="393">
        <v>4084</v>
      </c>
      <c r="B95" s="393" t="s">
        <v>1011</v>
      </c>
      <c r="C95" s="396">
        <v>168000</v>
      </c>
      <c r="D95" s="396">
        <v>190000</v>
      </c>
      <c r="E95" s="395" t="s">
        <v>290</v>
      </c>
    </row>
    <row r="96" spans="1:5" x14ac:dyDescent="0.25">
      <c r="A96" s="393">
        <v>4085</v>
      </c>
      <c r="B96" s="393" t="s">
        <v>1012</v>
      </c>
      <c r="C96" s="396">
        <v>48000</v>
      </c>
      <c r="D96" s="396">
        <v>48000</v>
      </c>
      <c r="E96" s="395" t="s">
        <v>290</v>
      </c>
    </row>
    <row r="97" spans="1:5" x14ac:dyDescent="0.25">
      <c r="A97" s="393">
        <v>4086</v>
      </c>
      <c r="B97" s="393" t="s">
        <v>1013</v>
      </c>
      <c r="C97" s="396">
        <v>25000</v>
      </c>
      <c r="D97" s="396">
        <v>0</v>
      </c>
      <c r="E97" s="395" t="s">
        <v>290</v>
      </c>
    </row>
    <row r="98" spans="1:5" x14ac:dyDescent="0.25">
      <c r="A98" s="393"/>
      <c r="B98" s="374" t="s">
        <v>1134</v>
      </c>
      <c r="C98" s="396"/>
      <c r="D98" s="396"/>
      <c r="E98" s="397"/>
    </row>
    <row r="99" spans="1:5" x14ac:dyDescent="0.25">
      <c r="A99" s="393">
        <v>4087</v>
      </c>
      <c r="B99" s="393" t="s">
        <v>1014</v>
      </c>
      <c r="C99" s="394">
        <v>2833.3333333333335</v>
      </c>
      <c r="D99" s="394">
        <v>3250</v>
      </c>
      <c r="E99" s="395" t="s">
        <v>657</v>
      </c>
    </row>
    <row r="100" spans="1:5" x14ac:dyDescent="0.25">
      <c r="A100" s="393">
        <v>4088</v>
      </c>
      <c r="B100" s="393" t="s">
        <v>1015</v>
      </c>
      <c r="C100" s="394">
        <v>4333.333333333333</v>
      </c>
      <c r="D100" s="394">
        <v>5333.333333333333</v>
      </c>
      <c r="E100" s="395" t="s">
        <v>657</v>
      </c>
    </row>
    <row r="101" spans="1:5" x14ac:dyDescent="0.25">
      <c r="A101" s="393">
        <v>4089</v>
      </c>
      <c r="B101" s="393" t="s">
        <v>1016</v>
      </c>
      <c r="C101" s="394">
        <f>33500/6</f>
        <v>5583.333333333333</v>
      </c>
      <c r="D101" s="394">
        <f>41000/6</f>
        <v>6833.333333333333</v>
      </c>
      <c r="E101" s="395" t="s">
        <v>657</v>
      </c>
    </row>
    <row r="102" spans="1:5" x14ac:dyDescent="0.25">
      <c r="A102" s="393">
        <v>4090</v>
      </c>
      <c r="B102" s="393" t="s">
        <v>1017</v>
      </c>
      <c r="C102" s="394">
        <v>3333.3333333333335</v>
      </c>
      <c r="D102" s="394">
        <v>4166.666666666667</v>
      </c>
      <c r="E102" s="395" t="s">
        <v>657</v>
      </c>
    </row>
    <row r="103" spans="1:5" x14ac:dyDescent="0.25">
      <c r="A103" s="393">
        <v>4091</v>
      </c>
      <c r="B103" s="393" t="s">
        <v>1018</v>
      </c>
      <c r="C103" s="394">
        <f>38000/6</f>
        <v>6333.333333333333</v>
      </c>
      <c r="D103" s="394">
        <f>40000/6</f>
        <v>6666.666666666667</v>
      </c>
      <c r="E103" s="395" t="s">
        <v>657</v>
      </c>
    </row>
    <row r="104" spans="1:5" x14ac:dyDescent="0.25">
      <c r="A104" s="393">
        <v>4092</v>
      </c>
      <c r="B104" s="393" t="s">
        <v>1019</v>
      </c>
      <c r="C104" s="394">
        <v>1166.6666666666667</v>
      </c>
      <c r="D104" s="394">
        <v>1666.6666666666667</v>
      </c>
      <c r="E104" s="395" t="s">
        <v>657</v>
      </c>
    </row>
    <row r="105" spans="1:5" x14ac:dyDescent="0.25">
      <c r="A105" s="393">
        <v>4093</v>
      </c>
      <c r="B105" s="393" t="s">
        <v>1020</v>
      </c>
      <c r="C105" s="394">
        <v>2083.3333333333335</v>
      </c>
      <c r="D105" s="394">
        <f>13500/6</f>
        <v>2250</v>
      </c>
      <c r="E105" s="395" t="s">
        <v>657</v>
      </c>
    </row>
    <row r="106" spans="1:5" x14ac:dyDescent="0.25">
      <c r="A106" s="393">
        <v>4094</v>
      </c>
      <c r="B106" s="393" t="s">
        <v>1021</v>
      </c>
      <c r="C106" s="394">
        <v>1500</v>
      </c>
      <c r="D106" s="394">
        <v>1833.3333333333333</v>
      </c>
      <c r="E106" s="395" t="s">
        <v>657</v>
      </c>
    </row>
    <row r="107" spans="1:5" x14ac:dyDescent="0.25">
      <c r="A107" s="393">
        <v>4095</v>
      </c>
      <c r="B107" s="393" t="s">
        <v>1022</v>
      </c>
      <c r="C107" s="394">
        <v>2750</v>
      </c>
      <c r="D107" s="394">
        <v>3333.3333333333335</v>
      </c>
      <c r="E107" s="395" t="s">
        <v>657</v>
      </c>
    </row>
    <row r="108" spans="1:5" x14ac:dyDescent="0.25">
      <c r="A108" s="393">
        <v>4096</v>
      </c>
      <c r="B108" s="393" t="s">
        <v>1023</v>
      </c>
      <c r="C108" s="394">
        <v>3000</v>
      </c>
      <c r="D108" s="394">
        <v>3833.3333333333335</v>
      </c>
      <c r="E108" s="395" t="s">
        <v>657</v>
      </c>
    </row>
    <row r="109" spans="1:5" x14ac:dyDescent="0.25">
      <c r="A109" s="393">
        <v>4097</v>
      </c>
      <c r="B109" s="393" t="s">
        <v>1024</v>
      </c>
      <c r="C109" s="394">
        <f>69000/6</f>
        <v>11500</v>
      </c>
      <c r="D109" s="394">
        <v>0</v>
      </c>
      <c r="E109" s="395" t="s">
        <v>657</v>
      </c>
    </row>
    <row r="110" spans="1:5" x14ac:dyDescent="0.25">
      <c r="A110" s="393">
        <v>4098</v>
      </c>
      <c r="B110" s="393" t="s">
        <v>1025</v>
      </c>
      <c r="C110" s="394">
        <f>40000/6</f>
        <v>6666.666666666667</v>
      </c>
      <c r="D110" s="394">
        <f>48000/6</f>
        <v>8000</v>
      </c>
      <c r="E110" s="395" t="s">
        <v>657</v>
      </c>
    </row>
    <row r="111" spans="1:5" x14ac:dyDescent="0.25">
      <c r="A111" s="393">
        <v>4099</v>
      </c>
      <c r="B111" s="393" t="s">
        <v>1026</v>
      </c>
      <c r="C111" s="394">
        <f>37000/6</f>
        <v>6166.666666666667</v>
      </c>
      <c r="D111" s="394">
        <f>45000/6</f>
        <v>7500</v>
      </c>
      <c r="E111" s="395" t="s">
        <v>657</v>
      </c>
    </row>
    <row r="112" spans="1:5" x14ac:dyDescent="0.25">
      <c r="A112" s="393"/>
      <c r="B112" s="374" t="s">
        <v>1135</v>
      </c>
      <c r="C112" s="396"/>
      <c r="D112" s="396"/>
      <c r="E112" s="397"/>
    </row>
    <row r="113" spans="1:5" x14ac:dyDescent="0.25">
      <c r="A113" s="393">
        <v>4100</v>
      </c>
      <c r="B113" s="393" t="s">
        <v>1027</v>
      </c>
      <c r="C113" s="396">
        <f>83000/6</f>
        <v>13833.333333333334</v>
      </c>
      <c r="D113" s="396">
        <f>98500/6</f>
        <v>16416.666666666668</v>
      </c>
      <c r="E113" s="395" t="s">
        <v>657</v>
      </c>
    </row>
    <row r="114" spans="1:5" x14ac:dyDescent="0.25">
      <c r="A114" s="393">
        <v>4101</v>
      </c>
      <c r="B114" s="393" t="s">
        <v>1028</v>
      </c>
      <c r="C114" s="396">
        <f>85000/6</f>
        <v>14166.666666666666</v>
      </c>
      <c r="D114" s="396">
        <f>112000/6</f>
        <v>18666.666666666668</v>
      </c>
      <c r="E114" s="395" t="s">
        <v>657</v>
      </c>
    </row>
    <row r="115" spans="1:5" x14ac:dyDescent="0.25">
      <c r="A115" s="393">
        <v>4102</v>
      </c>
      <c r="B115" s="393" t="s">
        <v>1029</v>
      </c>
      <c r="C115" s="396">
        <f>87000/6</f>
        <v>14500</v>
      </c>
      <c r="D115" s="396">
        <f>103000/6</f>
        <v>17166.666666666668</v>
      </c>
      <c r="E115" s="395" t="s">
        <v>657</v>
      </c>
    </row>
    <row r="116" spans="1:5" x14ac:dyDescent="0.25">
      <c r="A116" s="393">
        <v>4103</v>
      </c>
      <c r="B116" s="393" t="s">
        <v>1030</v>
      </c>
      <c r="C116" s="396">
        <f>74000/6</f>
        <v>12333.333333333334</v>
      </c>
      <c r="D116" s="396">
        <f>90000/6</f>
        <v>15000</v>
      </c>
      <c r="E116" s="395" t="s">
        <v>657</v>
      </c>
    </row>
    <row r="117" spans="1:5" x14ac:dyDescent="0.25">
      <c r="A117" s="393">
        <v>4104</v>
      </c>
      <c r="B117" s="400" t="s">
        <v>1031</v>
      </c>
      <c r="C117" s="396">
        <f>95000/6</f>
        <v>15833.333333333334</v>
      </c>
      <c r="D117" s="396">
        <f>112000/6</f>
        <v>18666.666666666668</v>
      </c>
      <c r="E117" s="395" t="s">
        <v>657</v>
      </c>
    </row>
    <row r="118" spans="1:5" x14ac:dyDescent="0.25">
      <c r="A118" s="393">
        <v>4105</v>
      </c>
      <c r="B118" s="393" t="s">
        <v>1032</v>
      </c>
      <c r="C118" s="396">
        <f>104000/6</f>
        <v>17333.333333333332</v>
      </c>
      <c r="D118" s="396">
        <f>123000/6</f>
        <v>20500</v>
      </c>
      <c r="E118" s="395" t="s">
        <v>657</v>
      </c>
    </row>
    <row r="119" spans="1:5" x14ac:dyDescent="0.25">
      <c r="A119" s="393">
        <v>4106</v>
      </c>
      <c r="B119" s="393" t="s">
        <v>1033</v>
      </c>
      <c r="C119" s="396">
        <f>116000/6</f>
        <v>19333.333333333332</v>
      </c>
      <c r="D119" s="396">
        <f>137000/6</f>
        <v>22833.333333333332</v>
      </c>
      <c r="E119" s="395" t="s">
        <v>657</v>
      </c>
    </row>
    <row r="120" spans="1:5" x14ac:dyDescent="0.25">
      <c r="A120" s="393">
        <v>4107</v>
      </c>
      <c r="B120" s="393" t="s">
        <v>1034</v>
      </c>
      <c r="C120" s="396">
        <f>42000/6</f>
        <v>7000</v>
      </c>
      <c r="D120" s="396">
        <f>50000/6</f>
        <v>8333.3333333333339</v>
      </c>
      <c r="E120" s="395" t="s">
        <v>657</v>
      </c>
    </row>
    <row r="121" spans="1:5" x14ac:dyDescent="0.25">
      <c r="A121" s="393">
        <v>4108</v>
      </c>
      <c r="B121" s="393" t="s">
        <v>1035</v>
      </c>
      <c r="C121" s="396">
        <f>111000/6</f>
        <v>18500</v>
      </c>
      <c r="D121" s="396">
        <f>127000/6</f>
        <v>21166.666666666668</v>
      </c>
      <c r="E121" s="395" t="s">
        <v>657</v>
      </c>
    </row>
    <row r="122" spans="1:5" x14ac:dyDescent="0.25">
      <c r="A122" s="393">
        <v>4109</v>
      </c>
      <c r="B122" s="393" t="s">
        <v>1036</v>
      </c>
      <c r="C122" s="396">
        <f>118000/6</f>
        <v>19666.666666666668</v>
      </c>
      <c r="D122" s="396">
        <f>144000/6</f>
        <v>24000</v>
      </c>
      <c r="E122" s="395" t="s">
        <v>657</v>
      </c>
    </row>
    <row r="123" spans="1:5" x14ac:dyDescent="0.25">
      <c r="A123" s="401">
        <v>4110</v>
      </c>
      <c r="B123" s="401" t="s">
        <v>1037</v>
      </c>
      <c r="C123" s="402">
        <f>95000/6</f>
        <v>15833.333333333334</v>
      </c>
      <c r="D123" s="402">
        <f>110000/6</f>
        <v>18333.333333333332</v>
      </c>
      <c r="E123" s="403" t="s">
        <v>657</v>
      </c>
    </row>
    <row r="124" spans="1:5" x14ac:dyDescent="0.25">
      <c r="A124" s="401"/>
      <c r="B124" s="573" t="s">
        <v>1213</v>
      </c>
      <c r="C124" s="570"/>
      <c r="D124" s="570"/>
      <c r="E124" s="571"/>
    </row>
    <row r="125" spans="1:5" ht="15.75" thickBot="1" x14ac:dyDescent="0.3">
      <c r="A125" s="376">
        <v>4111</v>
      </c>
      <c r="B125" s="574" t="s">
        <v>911</v>
      </c>
      <c r="C125" s="575">
        <v>4166.6666666666697</v>
      </c>
      <c r="D125" s="576"/>
      <c r="E125" s="577" t="s">
        <v>657</v>
      </c>
    </row>
    <row r="126" spans="1:5" ht="15.75" thickBot="1" x14ac:dyDescent="0.3">
      <c r="A126" s="376">
        <v>4112</v>
      </c>
      <c r="B126" s="574" t="s">
        <v>912</v>
      </c>
      <c r="C126" s="578">
        <v>5000</v>
      </c>
      <c r="D126" s="576"/>
      <c r="E126" s="577" t="s">
        <v>657</v>
      </c>
    </row>
    <row r="127" spans="1:5" ht="15.75" thickBot="1" x14ac:dyDescent="0.3">
      <c r="A127" s="376">
        <v>4113</v>
      </c>
      <c r="B127" s="574" t="s">
        <v>913</v>
      </c>
      <c r="C127" s="578">
        <v>6666.666666666667</v>
      </c>
      <c r="D127" s="576"/>
      <c r="E127" s="577" t="s">
        <v>657</v>
      </c>
    </row>
    <row r="128" spans="1:5" ht="15.75" thickBot="1" x14ac:dyDescent="0.3">
      <c r="A128" s="376">
        <v>4114</v>
      </c>
      <c r="B128" s="574" t="s">
        <v>914</v>
      </c>
      <c r="C128" s="578">
        <v>9166.6666666666661</v>
      </c>
      <c r="D128" s="576"/>
      <c r="E128" s="577" t="s">
        <v>657</v>
      </c>
    </row>
    <row r="129" spans="1:5" ht="15.75" thickBot="1" x14ac:dyDescent="0.3">
      <c r="A129" s="376">
        <v>4115</v>
      </c>
      <c r="B129" s="574" t="s">
        <v>915</v>
      </c>
      <c r="C129" s="578">
        <v>5000</v>
      </c>
      <c r="D129" s="576"/>
      <c r="E129" s="577" t="s">
        <v>657</v>
      </c>
    </row>
    <row r="130" spans="1:5" ht="15.75" thickBot="1" x14ac:dyDescent="0.3">
      <c r="A130" s="376">
        <v>4116</v>
      </c>
      <c r="B130" s="574" t="s">
        <v>916</v>
      </c>
      <c r="C130" s="578">
        <v>5833.333333333333</v>
      </c>
      <c r="D130" s="576"/>
      <c r="E130" s="577" t="s">
        <v>657</v>
      </c>
    </row>
    <row r="131" spans="1:5" ht="15.75" thickBot="1" x14ac:dyDescent="0.3">
      <c r="A131" s="376">
        <v>4117</v>
      </c>
      <c r="B131" s="574" t="s">
        <v>917</v>
      </c>
      <c r="C131" s="578">
        <v>7500</v>
      </c>
      <c r="D131" s="576"/>
      <c r="E131" s="577" t="s">
        <v>657</v>
      </c>
    </row>
    <row r="132" spans="1:5" ht="15.75" thickBot="1" x14ac:dyDescent="0.3">
      <c r="A132" s="376">
        <v>4118</v>
      </c>
      <c r="B132" s="574" t="s">
        <v>918</v>
      </c>
      <c r="C132" s="578">
        <v>15833.333333333334</v>
      </c>
      <c r="D132" s="576"/>
      <c r="E132" s="577" t="s">
        <v>657</v>
      </c>
    </row>
    <row r="133" spans="1:5" ht="15.75" thickBot="1" x14ac:dyDescent="0.3">
      <c r="A133" s="376">
        <v>4119</v>
      </c>
      <c r="B133" s="574" t="s">
        <v>919</v>
      </c>
      <c r="C133" s="578">
        <v>11166.666666666666</v>
      </c>
      <c r="D133" s="576"/>
      <c r="E133" s="577" t="s">
        <v>657</v>
      </c>
    </row>
    <row r="134" spans="1:5" ht="15.75" thickBot="1" x14ac:dyDescent="0.3">
      <c r="A134" s="376">
        <v>4120</v>
      </c>
      <c r="B134" s="574" t="s">
        <v>920</v>
      </c>
      <c r="C134" s="578">
        <v>9166.6666666666661</v>
      </c>
      <c r="D134" s="576"/>
      <c r="E134" s="577" t="s">
        <v>657</v>
      </c>
    </row>
    <row r="135" spans="1:5" ht="15.75" thickBot="1" x14ac:dyDescent="0.3">
      <c r="A135" s="376">
        <v>4121</v>
      </c>
      <c r="B135" s="574" t="s">
        <v>921</v>
      </c>
      <c r="C135" s="578">
        <v>18333.333333333332</v>
      </c>
      <c r="D135" s="576"/>
      <c r="E135" s="577" t="s">
        <v>657</v>
      </c>
    </row>
    <row r="136" spans="1:5" ht="15.75" thickBot="1" x14ac:dyDescent="0.3">
      <c r="A136" s="376">
        <v>4122</v>
      </c>
      <c r="B136" s="574" t="s">
        <v>922</v>
      </c>
      <c r="C136" s="578">
        <v>14166.666666666666</v>
      </c>
      <c r="D136" s="576"/>
      <c r="E136" s="577" t="s">
        <v>657</v>
      </c>
    </row>
    <row r="137" spans="1:5" ht="15.75" thickBot="1" x14ac:dyDescent="0.3">
      <c r="A137" s="376">
        <v>4123</v>
      </c>
      <c r="B137" s="574" t="s">
        <v>923</v>
      </c>
      <c r="C137" s="578">
        <v>14166.666666666666</v>
      </c>
      <c r="D137" s="576"/>
      <c r="E137" s="577" t="s">
        <v>657</v>
      </c>
    </row>
    <row r="138" spans="1:5" ht="15.75" thickBot="1" x14ac:dyDescent="0.3">
      <c r="A138" s="376">
        <v>4124</v>
      </c>
      <c r="B138" s="574" t="s">
        <v>1157</v>
      </c>
      <c r="C138" s="578">
        <v>1000</v>
      </c>
      <c r="D138" s="576"/>
      <c r="E138" s="577" t="s">
        <v>657</v>
      </c>
    </row>
    <row r="139" spans="1:5" ht="15.75" thickBot="1" x14ac:dyDescent="0.3">
      <c r="A139" s="376">
        <v>4125</v>
      </c>
      <c r="B139" s="574" t="s">
        <v>1158</v>
      </c>
      <c r="C139" s="578">
        <v>1166.6666666666667</v>
      </c>
      <c r="D139" s="576"/>
      <c r="E139" s="577" t="s">
        <v>657</v>
      </c>
    </row>
    <row r="140" spans="1:5" x14ac:dyDescent="0.25">
      <c r="A140" s="569"/>
      <c r="B140" s="579" t="s">
        <v>1214</v>
      </c>
      <c r="C140" s="576"/>
      <c r="D140" s="576"/>
      <c r="E140" s="572"/>
    </row>
    <row r="141" spans="1:5" ht="15.75" thickBot="1" x14ac:dyDescent="0.3">
      <c r="A141" s="376">
        <v>5077</v>
      </c>
      <c r="B141" s="436" t="s">
        <v>924</v>
      </c>
      <c r="C141" s="578"/>
      <c r="D141" s="578">
        <v>14166.666666666666</v>
      </c>
      <c r="E141" s="577" t="s">
        <v>657</v>
      </c>
    </row>
    <row r="142" spans="1:5" ht="15.75" thickBot="1" x14ac:dyDescent="0.3">
      <c r="A142" s="376">
        <v>5078</v>
      </c>
      <c r="B142" s="436" t="s">
        <v>925</v>
      </c>
      <c r="C142" s="578"/>
      <c r="D142" s="578">
        <v>14166.666666666666</v>
      </c>
      <c r="E142" s="577" t="s">
        <v>657</v>
      </c>
    </row>
    <row r="143" spans="1:5" ht="15.75" thickBot="1" x14ac:dyDescent="0.3">
      <c r="A143" s="376">
        <v>5079</v>
      </c>
      <c r="B143" s="436" t="s">
        <v>926</v>
      </c>
      <c r="C143" s="578"/>
      <c r="D143" s="578">
        <v>16666.666666666668</v>
      </c>
      <c r="E143" s="577" t="s">
        <v>657</v>
      </c>
    </row>
    <row r="144" spans="1:5" ht="15.75" thickBot="1" x14ac:dyDescent="0.3">
      <c r="A144" s="376">
        <v>5080</v>
      </c>
      <c r="B144" s="436" t="s">
        <v>927</v>
      </c>
      <c r="C144" s="578"/>
      <c r="D144" s="578">
        <v>20000</v>
      </c>
      <c r="E144" s="577" t="s">
        <v>657</v>
      </c>
    </row>
    <row r="145" spans="1:5" ht="15.75" thickBot="1" x14ac:dyDescent="0.3">
      <c r="A145" s="374"/>
      <c r="B145" s="423" t="s">
        <v>150</v>
      </c>
      <c r="C145" s="421">
        <f>+SUM(C3:C144)</f>
        <v>1236083.3333333342</v>
      </c>
      <c r="D145" s="421">
        <f>+SUM(D3:D144)</f>
        <v>1240582.3366666667</v>
      </c>
      <c r="E145" s="422">
        <f>+Tabla3[[#This Row],[COSTO CRUDO]]+Tabla3[[#This Row],[COSTO CROMADO]]</f>
        <v>2476665.6700000009</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theme="7" tint="-0.249977111117893"/>
  </sheetPr>
  <dimension ref="A1:D291"/>
  <sheetViews>
    <sheetView topLeftCell="A281" workbookViewId="0">
      <selection activeCell="C287" sqref="C287"/>
    </sheetView>
  </sheetViews>
  <sheetFormatPr baseColWidth="10" defaultRowHeight="15" x14ac:dyDescent="0.25"/>
  <cols>
    <col min="1" max="1" width="11.42578125" style="264"/>
    <col min="2" max="2" width="54" style="264" customWidth="1"/>
    <col min="3" max="3" width="14.5703125" style="265" bestFit="1" customWidth="1"/>
    <col min="4" max="4" width="21.7109375" style="265" customWidth="1"/>
    <col min="5" max="8" width="11.42578125" style="264"/>
    <col min="9" max="9" width="14.5703125" style="264" bestFit="1" customWidth="1"/>
    <col min="10" max="16384" width="11.42578125" style="264"/>
  </cols>
  <sheetData>
    <row r="1" spans="1:4" x14ac:dyDescent="0.25">
      <c r="A1" s="418" t="s">
        <v>284</v>
      </c>
      <c r="B1" s="418" t="s">
        <v>285</v>
      </c>
      <c r="C1" s="419" t="s">
        <v>116</v>
      </c>
      <c r="D1" s="420" t="s">
        <v>287</v>
      </c>
    </row>
    <row r="2" spans="1:4" x14ac:dyDescent="0.25">
      <c r="A2" s="376">
        <v>3001</v>
      </c>
      <c r="B2" s="376" t="s">
        <v>856</v>
      </c>
      <c r="C2" s="415">
        <v>100</v>
      </c>
      <c r="D2" s="415" t="s">
        <v>290</v>
      </c>
    </row>
    <row r="3" spans="1:4" x14ac:dyDescent="0.25">
      <c r="A3" s="376">
        <v>3002</v>
      </c>
      <c r="B3" s="376" t="s">
        <v>855</v>
      </c>
      <c r="C3" s="415">
        <v>100</v>
      </c>
      <c r="D3" s="415" t="s">
        <v>290</v>
      </c>
    </row>
    <row r="4" spans="1:4" x14ac:dyDescent="0.25">
      <c r="A4" s="376">
        <v>3003</v>
      </c>
      <c r="B4" s="376" t="s">
        <v>854</v>
      </c>
      <c r="C4" s="415">
        <v>100</v>
      </c>
      <c r="D4" s="415" t="s">
        <v>290</v>
      </c>
    </row>
    <row r="5" spans="1:4" x14ac:dyDescent="0.25">
      <c r="A5" s="376">
        <v>3004</v>
      </c>
      <c r="B5" s="376" t="s">
        <v>853</v>
      </c>
      <c r="C5" s="415">
        <v>100</v>
      </c>
      <c r="D5" s="415" t="s">
        <v>290</v>
      </c>
    </row>
    <row r="6" spans="1:4" x14ac:dyDescent="0.25">
      <c r="A6" s="376">
        <v>3005</v>
      </c>
      <c r="B6" s="376" t="s">
        <v>852</v>
      </c>
      <c r="C6" s="415">
        <v>600</v>
      </c>
      <c r="D6" s="415" t="s">
        <v>290</v>
      </c>
    </row>
    <row r="7" spans="1:4" x14ac:dyDescent="0.25">
      <c r="A7" s="376">
        <v>3006</v>
      </c>
      <c r="B7" s="376" t="s">
        <v>851</v>
      </c>
      <c r="C7" s="415">
        <v>600</v>
      </c>
      <c r="D7" s="415" t="s">
        <v>290</v>
      </c>
    </row>
    <row r="8" spans="1:4" x14ac:dyDescent="0.25">
      <c r="A8" s="376">
        <v>3007</v>
      </c>
      <c r="B8" s="376" t="s">
        <v>850</v>
      </c>
      <c r="C8" s="415">
        <v>600</v>
      </c>
      <c r="D8" s="415" t="s">
        <v>290</v>
      </c>
    </row>
    <row r="9" spans="1:4" x14ac:dyDescent="0.25">
      <c r="A9" s="376">
        <v>3008</v>
      </c>
      <c r="B9" s="376" t="s">
        <v>849</v>
      </c>
      <c r="C9" s="415">
        <v>3500</v>
      </c>
      <c r="D9" s="415" t="s">
        <v>290</v>
      </c>
    </row>
    <row r="10" spans="1:4" x14ac:dyDescent="0.25">
      <c r="A10" s="376">
        <v>3009</v>
      </c>
      <c r="B10" s="376" t="s">
        <v>848</v>
      </c>
      <c r="C10" s="415">
        <v>3500</v>
      </c>
      <c r="D10" s="415" t="s">
        <v>290</v>
      </c>
    </row>
    <row r="11" spans="1:4" x14ac:dyDescent="0.25">
      <c r="A11" s="376">
        <v>3010</v>
      </c>
      <c r="B11" s="376" t="s">
        <v>847</v>
      </c>
      <c r="C11" s="415">
        <v>3500</v>
      </c>
      <c r="D11" s="415" t="s">
        <v>290</v>
      </c>
    </row>
    <row r="12" spans="1:4" x14ac:dyDescent="0.25">
      <c r="A12" s="376">
        <v>3011</v>
      </c>
      <c r="B12" s="376" t="s">
        <v>846</v>
      </c>
      <c r="C12" s="415">
        <v>3500</v>
      </c>
      <c r="D12" s="415" t="s">
        <v>290</v>
      </c>
    </row>
    <row r="13" spans="1:4" x14ac:dyDescent="0.25">
      <c r="A13" s="376">
        <v>3012</v>
      </c>
      <c r="B13" s="416" t="s">
        <v>845</v>
      </c>
      <c r="C13" s="415">
        <v>15000</v>
      </c>
      <c r="D13" s="415" t="s">
        <v>290</v>
      </c>
    </row>
    <row r="14" spans="1:4" x14ac:dyDescent="0.25">
      <c r="A14" s="376">
        <v>3013</v>
      </c>
      <c r="B14" s="416" t="s">
        <v>844</v>
      </c>
      <c r="C14" s="415">
        <v>16000</v>
      </c>
      <c r="D14" s="415" t="s">
        <v>290</v>
      </c>
    </row>
    <row r="15" spans="1:4" x14ac:dyDescent="0.25">
      <c r="A15" s="376">
        <v>3014</v>
      </c>
      <c r="B15" s="416" t="s">
        <v>843</v>
      </c>
      <c r="C15" s="415">
        <v>16000</v>
      </c>
      <c r="D15" s="415" t="s">
        <v>290</v>
      </c>
    </row>
    <row r="16" spans="1:4" x14ac:dyDescent="0.25">
      <c r="A16" s="376">
        <v>3015</v>
      </c>
      <c r="B16" s="416" t="s">
        <v>842</v>
      </c>
      <c r="C16" s="415">
        <v>16000</v>
      </c>
      <c r="D16" s="415" t="s">
        <v>290</v>
      </c>
    </row>
    <row r="17" spans="1:4" x14ac:dyDescent="0.25">
      <c r="A17" s="376">
        <v>3016</v>
      </c>
      <c r="B17" s="416" t="s">
        <v>841</v>
      </c>
      <c r="C17" s="415">
        <v>16000</v>
      </c>
      <c r="D17" s="415" t="s">
        <v>290</v>
      </c>
    </row>
    <row r="18" spans="1:4" x14ac:dyDescent="0.25">
      <c r="A18" s="376">
        <v>3017</v>
      </c>
      <c r="B18" s="416" t="s">
        <v>840</v>
      </c>
      <c r="C18" s="415">
        <v>16000</v>
      </c>
      <c r="D18" s="415" t="s">
        <v>290</v>
      </c>
    </row>
    <row r="19" spans="1:4" x14ac:dyDescent="0.25">
      <c r="A19" s="376">
        <v>3018</v>
      </c>
      <c r="B19" s="416" t="s">
        <v>839</v>
      </c>
      <c r="C19" s="415">
        <v>16000</v>
      </c>
      <c r="D19" s="415" t="s">
        <v>290</v>
      </c>
    </row>
    <row r="20" spans="1:4" x14ac:dyDescent="0.25">
      <c r="A20" s="376">
        <v>3019</v>
      </c>
      <c r="B20" s="416" t="s">
        <v>838</v>
      </c>
      <c r="C20" s="415">
        <v>16000</v>
      </c>
      <c r="D20" s="415" t="s">
        <v>290</v>
      </c>
    </row>
    <row r="21" spans="1:4" x14ac:dyDescent="0.25">
      <c r="A21" s="376">
        <v>3020</v>
      </c>
      <c r="B21" s="416" t="s">
        <v>837</v>
      </c>
      <c r="C21" s="415">
        <v>16000</v>
      </c>
      <c r="D21" s="415" t="s">
        <v>290</v>
      </c>
    </row>
    <row r="22" spans="1:4" x14ac:dyDescent="0.25">
      <c r="A22" s="376">
        <v>3021</v>
      </c>
      <c r="B22" s="416" t="s">
        <v>836</v>
      </c>
      <c r="C22" s="415">
        <v>16000</v>
      </c>
      <c r="D22" s="415" t="s">
        <v>290</v>
      </c>
    </row>
    <row r="23" spans="1:4" x14ac:dyDescent="0.25">
      <c r="A23" s="376">
        <v>3022</v>
      </c>
      <c r="B23" s="376" t="s">
        <v>835</v>
      </c>
      <c r="C23" s="415">
        <v>8000</v>
      </c>
      <c r="D23" s="415" t="s">
        <v>290</v>
      </c>
    </row>
    <row r="24" spans="1:4" x14ac:dyDescent="0.25">
      <c r="A24" s="376">
        <v>3023</v>
      </c>
      <c r="B24" s="376" t="s">
        <v>834</v>
      </c>
      <c r="C24" s="415">
        <v>8000</v>
      </c>
      <c r="D24" s="415" t="s">
        <v>290</v>
      </c>
    </row>
    <row r="25" spans="1:4" x14ac:dyDescent="0.25">
      <c r="A25" s="376">
        <v>3024</v>
      </c>
      <c r="B25" s="376" t="s">
        <v>833</v>
      </c>
      <c r="C25" s="415">
        <v>8000</v>
      </c>
      <c r="D25" s="415" t="s">
        <v>290</v>
      </c>
    </row>
    <row r="26" spans="1:4" x14ac:dyDescent="0.25">
      <c r="A26" s="376">
        <v>3025</v>
      </c>
      <c r="B26" s="376" t="s">
        <v>832</v>
      </c>
      <c r="C26" s="415">
        <v>8000</v>
      </c>
      <c r="D26" s="415" t="s">
        <v>290</v>
      </c>
    </row>
    <row r="27" spans="1:4" x14ac:dyDescent="0.25">
      <c r="A27" s="376">
        <v>3026</v>
      </c>
      <c r="B27" s="376" t="s">
        <v>831</v>
      </c>
      <c r="C27" s="415">
        <v>8000</v>
      </c>
      <c r="D27" s="415" t="s">
        <v>290</v>
      </c>
    </row>
    <row r="28" spans="1:4" x14ac:dyDescent="0.25">
      <c r="A28" s="376">
        <v>3027</v>
      </c>
      <c r="B28" s="376" t="s">
        <v>830</v>
      </c>
      <c r="C28" s="415">
        <v>8000</v>
      </c>
      <c r="D28" s="415" t="s">
        <v>290</v>
      </c>
    </row>
    <row r="29" spans="1:4" x14ac:dyDescent="0.25">
      <c r="A29" s="376">
        <v>3028</v>
      </c>
      <c r="B29" s="376" t="s">
        <v>829</v>
      </c>
      <c r="C29" s="415">
        <v>8000</v>
      </c>
      <c r="D29" s="415" t="s">
        <v>290</v>
      </c>
    </row>
    <row r="30" spans="1:4" x14ac:dyDescent="0.25">
      <c r="A30" s="376">
        <v>3029</v>
      </c>
      <c r="B30" s="376" t="s">
        <v>828</v>
      </c>
      <c r="C30" s="415">
        <v>8000</v>
      </c>
      <c r="D30" s="415" t="s">
        <v>290</v>
      </c>
    </row>
    <row r="31" spans="1:4" x14ac:dyDescent="0.25">
      <c r="A31" s="376">
        <v>3030</v>
      </c>
      <c r="B31" s="376" t="s">
        <v>827</v>
      </c>
      <c r="C31" s="415">
        <v>1000</v>
      </c>
      <c r="D31" s="415" t="s">
        <v>290</v>
      </c>
    </row>
    <row r="32" spans="1:4" x14ac:dyDescent="0.25">
      <c r="A32" s="376">
        <v>3031</v>
      </c>
      <c r="B32" s="376" t="s">
        <v>826</v>
      </c>
      <c r="C32" s="415">
        <v>1000</v>
      </c>
      <c r="D32" s="415" t="s">
        <v>290</v>
      </c>
    </row>
    <row r="33" spans="1:4" x14ac:dyDescent="0.25">
      <c r="A33" s="376">
        <v>3032</v>
      </c>
      <c r="B33" s="376" t="s">
        <v>825</v>
      </c>
      <c r="C33" s="415">
        <v>1000</v>
      </c>
      <c r="D33" s="415" t="s">
        <v>290</v>
      </c>
    </row>
    <row r="34" spans="1:4" x14ac:dyDescent="0.25">
      <c r="A34" s="376">
        <v>3033</v>
      </c>
      <c r="B34" s="376" t="s">
        <v>824</v>
      </c>
      <c r="C34" s="415">
        <v>1000</v>
      </c>
      <c r="D34" s="415" t="s">
        <v>290</v>
      </c>
    </row>
    <row r="35" spans="1:4" x14ac:dyDescent="0.25">
      <c r="A35" s="376">
        <v>3034</v>
      </c>
      <c r="B35" s="376" t="s">
        <v>823</v>
      </c>
      <c r="C35" s="415">
        <v>1000</v>
      </c>
      <c r="D35" s="415" t="s">
        <v>290</v>
      </c>
    </row>
    <row r="36" spans="1:4" x14ac:dyDescent="0.25">
      <c r="A36" s="376">
        <v>3035</v>
      </c>
      <c r="B36" s="376" t="s">
        <v>822</v>
      </c>
      <c r="C36" s="415">
        <v>7800</v>
      </c>
      <c r="D36" s="415" t="s">
        <v>290</v>
      </c>
    </row>
    <row r="37" spans="1:4" x14ac:dyDescent="0.25">
      <c r="A37" s="376">
        <v>3036</v>
      </c>
      <c r="B37" s="376" t="s">
        <v>821</v>
      </c>
      <c r="C37" s="415">
        <v>1000</v>
      </c>
      <c r="D37" s="415" t="s">
        <v>290</v>
      </c>
    </row>
    <row r="38" spans="1:4" x14ac:dyDescent="0.25">
      <c r="A38" s="376">
        <v>3037</v>
      </c>
      <c r="B38" s="376" t="s">
        <v>820</v>
      </c>
      <c r="C38" s="415">
        <v>1200</v>
      </c>
      <c r="D38" s="415" t="s">
        <v>290</v>
      </c>
    </row>
    <row r="39" spans="1:4" x14ac:dyDescent="0.25">
      <c r="A39" s="376">
        <v>3038</v>
      </c>
      <c r="B39" s="376" t="s">
        <v>819</v>
      </c>
      <c r="C39" s="415">
        <v>1200</v>
      </c>
      <c r="D39" s="415" t="s">
        <v>290</v>
      </c>
    </row>
    <row r="40" spans="1:4" x14ac:dyDescent="0.25">
      <c r="A40" s="376">
        <v>3039</v>
      </c>
      <c r="B40" s="376" t="s">
        <v>818</v>
      </c>
      <c r="C40" s="415">
        <v>1200</v>
      </c>
      <c r="D40" s="415" t="s">
        <v>290</v>
      </c>
    </row>
    <row r="41" spans="1:4" x14ac:dyDescent="0.25">
      <c r="A41" s="376">
        <v>3040</v>
      </c>
      <c r="B41" s="376" t="s">
        <v>817</v>
      </c>
      <c r="C41" s="415">
        <v>1200</v>
      </c>
      <c r="D41" s="415" t="s">
        <v>290</v>
      </c>
    </row>
    <row r="42" spans="1:4" x14ac:dyDescent="0.25">
      <c r="A42" s="376">
        <v>3041</v>
      </c>
      <c r="B42" s="376" t="s">
        <v>816</v>
      </c>
      <c r="C42" s="415">
        <v>1200</v>
      </c>
      <c r="D42" s="415" t="s">
        <v>290</v>
      </c>
    </row>
    <row r="43" spans="1:4" x14ac:dyDescent="0.25">
      <c r="A43" s="376">
        <v>3042</v>
      </c>
      <c r="B43" s="376" t="s">
        <v>815</v>
      </c>
      <c r="C43" s="415">
        <v>2000</v>
      </c>
      <c r="D43" s="415" t="s">
        <v>290</v>
      </c>
    </row>
    <row r="44" spans="1:4" x14ac:dyDescent="0.25">
      <c r="A44" s="376">
        <v>3043</v>
      </c>
      <c r="B44" s="376" t="s">
        <v>814</v>
      </c>
      <c r="C44" s="415">
        <v>2000</v>
      </c>
      <c r="D44" s="415" t="s">
        <v>290</v>
      </c>
    </row>
    <row r="45" spans="1:4" x14ac:dyDescent="0.25">
      <c r="A45" s="376">
        <v>3044</v>
      </c>
      <c r="B45" s="376" t="s">
        <v>813</v>
      </c>
      <c r="C45" s="415">
        <v>2000</v>
      </c>
      <c r="D45" s="415" t="s">
        <v>290</v>
      </c>
    </row>
    <row r="46" spans="1:4" x14ac:dyDescent="0.25">
      <c r="A46" s="376">
        <v>3045</v>
      </c>
      <c r="B46" s="376" t="s">
        <v>812</v>
      </c>
      <c r="C46" s="415">
        <v>2000</v>
      </c>
      <c r="D46" s="415" t="s">
        <v>290</v>
      </c>
    </row>
    <row r="47" spans="1:4" x14ac:dyDescent="0.25">
      <c r="A47" s="376">
        <v>3046</v>
      </c>
      <c r="B47" s="376" t="s">
        <v>811</v>
      </c>
      <c r="C47" s="415">
        <v>2000</v>
      </c>
      <c r="D47" s="415" t="s">
        <v>290</v>
      </c>
    </row>
    <row r="48" spans="1:4" x14ac:dyDescent="0.25">
      <c r="A48" s="376">
        <v>3047</v>
      </c>
      <c r="B48" s="376" t="s">
        <v>810</v>
      </c>
      <c r="C48" s="415">
        <v>2000</v>
      </c>
      <c r="D48" s="415" t="s">
        <v>290</v>
      </c>
    </row>
    <row r="49" spans="1:4" x14ac:dyDescent="0.25">
      <c r="A49" s="376">
        <v>3048</v>
      </c>
      <c r="B49" s="376" t="s">
        <v>809</v>
      </c>
      <c r="C49" s="415">
        <v>2000</v>
      </c>
      <c r="D49" s="415" t="s">
        <v>290</v>
      </c>
    </row>
    <row r="50" spans="1:4" x14ac:dyDescent="0.25">
      <c r="A50" s="376">
        <v>3049</v>
      </c>
      <c r="B50" s="376" t="s">
        <v>808</v>
      </c>
      <c r="C50" s="415">
        <v>2000</v>
      </c>
      <c r="D50" s="415" t="s">
        <v>290</v>
      </c>
    </row>
    <row r="51" spans="1:4" x14ac:dyDescent="0.25">
      <c r="A51" s="376">
        <v>3050</v>
      </c>
      <c r="B51" s="376" t="s">
        <v>807</v>
      </c>
      <c r="C51" s="415">
        <v>2000</v>
      </c>
      <c r="D51" s="415" t="s">
        <v>290</v>
      </c>
    </row>
    <row r="52" spans="1:4" x14ac:dyDescent="0.25">
      <c r="A52" s="376">
        <v>3051</v>
      </c>
      <c r="B52" s="376" t="s">
        <v>806</v>
      </c>
      <c r="C52" s="415">
        <v>2000</v>
      </c>
      <c r="D52" s="415" t="s">
        <v>290</v>
      </c>
    </row>
    <row r="53" spans="1:4" x14ac:dyDescent="0.25">
      <c r="A53" s="376">
        <v>3052</v>
      </c>
      <c r="B53" s="376" t="s">
        <v>805</v>
      </c>
      <c r="C53" s="415">
        <v>2000</v>
      </c>
      <c r="D53" s="415" t="s">
        <v>290</v>
      </c>
    </row>
    <row r="54" spans="1:4" x14ac:dyDescent="0.25">
      <c r="A54" s="376">
        <v>3053</v>
      </c>
      <c r="B54" s="376" t="s">
        <v>804</v>
      </c>
      <c r="C54" s="415">
        <v>2000</v>
      </c>
      <c r="D54" s="415" t="s">
        <v>290</v>
      </c>
    </row>
    <row r="55" spans="1:4" x14ac:dyDescent="0.25">
      <c r="A55" s="376">
        <v>3054</v>
      </c>
      <c r="B55" s="376" t="s">
        <v>803</v>
      </c>
      <c r="C55" s="415">
        <v>2000</v>
      </c>
      <c r="D55" s="415" t="s">
        <v>290</v>
      </c>
    </row>
    <row r="56" spans="1:4" x14ac:dyDescent="0.25">
      <c r="A56" s="376">
        <v>3055</v>
      </c>
      <c r="B56" s="376" t="s">
        <v>802</v>
      </c>
      <c r="C56" s="415">
        <v>2000</v>
      </c>
      <c r="D56" s="415" t="s">
        <v>290</v>
      </c>
    </row>
    <row r="57" spans="1:4" x14ac:dyDescent="0.25">
      <c r="A57" s="376">
        <v>3056</v>
      </c>
      <c r="B57" s="376" t="s">
        <v>801</v>
      </c>
      <c r="C57" s="415">
        <v>2000</v>
      </c>
      <c r="D57" s="415" t="s">
        <v>290</v>
      </c>
    </row>
    <row r="58" spans="1:4" x14ac:dyDescent="0.25">
      <c r="A58" s="376">
        <v>3057</v>
      </c>
      <c r="B58" s="376" t="s">
        <v>800</v>
      </c>
      <c r="C58" s="415">
        <v>2000</v>
      </c>
      <c r="D58" s="415" t="s">
        <v>290</v>
      </c>
    </row>
    <row r="59" spans="1:4" x14ac:dyDescent="0.25">
      <c r="A59" s="376">
        <v>3058</v>
      </c>
      <c r="B59" s="376" t="s">
        <v>799</v>
      </c>
      <c r="C59" s="415">
        <v>2000</v>
      </c>
      <c r="D59" s="415" t="s">
        <v>290</v>
      </c>
    </row>
    <row r="60" spans="1:4" x14ac:dyDescent="0.25">
      <c r="A60" s="376">
        <v>3059</v>
      </c>
      <c r="B60" s="376" t="s">
        <v>798</v>
      </c>
      <c r="C60" s="415">
        <v>1500</v>
      </c>
      <c r="D60" s="415" t="s">
        <v>290</v>
      </c>
    </row>
    <row r="61" spans="1:4" x14ac:dyDescent="0.25">
      <c r="A61" s="376">
        <v>3060</v>
      </c>
      <c r="B61" s="376" t="s">
        <v>797</v>
      </c>
      <c r="C61" s="415">
        <v>1500</v>
      </c>
      <c r="D61" s="415" t="s">
        <v>290</v>
      </c>
    </row>
    <row r="62" spans="1:4" x14ac:dyDescent="0.25">
      <c r="A62" s="376">
        <v>3061</v>
      </c>
      <c r="B62" s="376" t="s">
        <v>796</v>
      </c>
      <c r="C62" s="415">
        <v>1500</v>
      </c>
      <c r="D62" s="415" t="s">
        <v>290</v>
      </c>
    </row>
    <row r="63" spans="1:4" x14ac:dyDescent="0.25">
      <c r="A63" s="376">
        <v>3062</v>
      </c>
      <c r="B63" s="376" t="s">
        <v>795</v>
      </c>
      <c r="C63" s="415">
        <v>1500</v>
      </c>
      <c r="D63" s="415" t="s">
        <v>290</v>
      </c>
    </row>
    <row r="64" spans="1:4" x14ac:dyDescent="0.25">
      <c r="A64" s="376">
        <v>3063</v>
      </c>
      <c r="B64" s="376" t="s">
        <v>794</v>
      </c>
      <c r="C64" s="415">
        <v>1500</v>
      </c>
      <c r="D64" s="415" t="s">
        <v>290</v>
      </c>
    </row>
    <row r="65" spans="1:4" x14ac:dyDescent="0.25">
      <c r="A65" s="376">
        <v>3064</v>
      </c>
      <c r="B65" s="376" t="s">
        <v>793</v>
      </c>
      <c r="C65" s="415">
        <v>6000</v>
      </c>
      <c r="D65" s="415" t="s">
        <v>290</v>
      </c>
    </row>
    <row r="66" spans="1:4" x14ac:dyDescent="0.25">
      <c r="A66" s="376">
        <v>3065</v>
      </c>
      <c r="B66" s="376" t="s">
        <v>792</v>
      </c>
      <c r="C66" s="415">
        <v>7500</v>
      </c>
      <c r="D66" s="415" t="s">
        <v>290</v>
      </c>
    </row>
    <row r="67" spans="1:4" x14ac:dyDescent="0.25">
      <c r="A67" s="376">
        <v>3066</v>
      </c>
      <c r="B67" s="376" t="s">
        <v>791</v>
      </c>
      <c r="C67" s="415">
        <v>7500</v>
      </c>
      <c r="D67" s="415" t="s">
        <v>290</v>
      </c>
    </row>
    <row r="68" spans="1:4" x14ac:dyDescent="0.25">
      <c r="A68" s="376">
        <v>3067</v>
      </c>
      <c r="B68" s="376" t="s">
        <v>790</v>
      </c>
      <c r="C68" s="415">
        <v>7500</v>
      </c>
      <c r="D68" s="415" t="s">
        <v>290</v>
      </c>
    </row>
    <row r="69" spans="1:4" x14ac:dyDescent="0.25">
      <c r="A69" s="376">
        <v>3068</v>
      </c>
      <c r="B69" s="376" t="s">
        <v>789</v>
      </c>
      <c r="C69" s="415">
        <v>7500</v>
      </c>
      <c r="D69" s="415" t="s">
        <v>290</v>
      </c>
    </row>
    <row r="70" spans="1:4" x14ac:dyDescent="0.25">
      <c r="A70" s="376">
        <v>3069</v>
      </c>
      <c r="B70" s="376" t="s">
        <v>788</v>
      </c>
      <c r="C70" s="415">
        <v>4500</v>
      </c>
      <c r="D70" s="415" t="s">
        <v>290</v>
      </c>
    </row>
    <row r="71" spans="1:4" x14ac:dyDescent="0.25">
      <c r="A71" s="376">
        <v>3070</v>
      </c>
      <c r="B71" s="376" t="s">
        <v>787</v>
      </c>
      <c r="C71" s="415">
        <v>4500</v>
      </c>
      <c r="D71" s="415" t="s">
        <v>290</v>
      </c>
    </row>
    <row r="72" spans="1:4" x14ac:dyDescent="0.25">
      <c r="A72" s="376">
        <v>3071</v>
      </c>
      <c r="B72" s="376" t="s">
        <v>786</v>
      </c>
      <c r="C72" s="415">
        <v>4500</v>
      </c>
      <c r="D72" s="415" t="s">
        <v>290</v>
      </c>
    </row>
    <row r="73" spans="1:4" x14ac:dyDescent="0.25">
      <c r="A73" s="376">
        <v>3072</v>
      </c>
      <c r="B73" s="376" t="s">
        <v>785</v>
      </c>
      <c r="C73" s="415">
        <v>4500</v>
      </c>
      <c r="D73" s="415" t="s">
        <v>290</v>
      </c>
    </row>
    <row r="74" spans="1:4" x14ac:dyDescent="0.25">
      <c r="A74" s="376">
        <v>3073</v>
      </c>
      <c r="B74" s="376" t="s">
        <v>784</v>
      </c>
      <c r="C74" s="415">
        <v>2600</v>
      </c>
      <c r="D74" s="415" t="s">
        <v>290</v>
      </c>
    </row>
    <row r="75" spans="1:4" x14ac:dyDescent="0.25">
      <c r="A75" s="376">
        <v>3074</v>
      </c>
      <c r="B75" s="376" t="s">
        <v>783</v>
      </c>
      <c r="C75" s="415">
        <v>2600</v>
      </c>
      <c r="D75" s="415" t="s">
        <v>290</v>
      </c>
    </row>
    <row r="76" spans="1:4" x14ac:dyDescent="0.25">
      <c r="A76" s="376">
        <v>3075</v>
      </c>
      <c r="B76" s="376" t="s">
        <v>782</v>
      </c>
      <c r="C76" s="415">
        <v>2600</v>
      </c>
      <c r="D76" s="415" t="s">
        <v>290</v>
      </c>
    </row>
    <row r="77" spans="1:4" x14ac:dyDescent="0.25">
      <c r="A77" s="376">
        <v>3076</v>
      </c>
      <c r="B77" s="376" t="s">
        <v>781</v>
      </c>
      <c r="C77" s="415">
        <v>2600</v>
      </c>
      <c r="D77" s="415" t="s">
        <v>290</v>
      </c>
    </row>
    <row r="78" spans="1:4" x14ac:dyDescent="0.25">
      <c r="A78" s="376">
        <v>3077</v>
      </c>
      <c r="B78" s="376" t="s">
        <v>780</v>
      </c>
      <c r="C78" s="415">
        <v>2600</v>
      </c>
      <c r="D78" s="415" t="s">
        <v>290</v>
      </c>
    </row>
    <row r="79" spans="1:4" x14ac:dyDescent="0.25">
      <c r="A79" s="376">
        <v>3078</v>
      </c>
      <c r="B79" s="376" t="s">
        <v>779</v>
      </c>
      <c r="C79" s="415">
        <v>2600</v>
      </c>
      <c r="D79" s="415" t="s">
        <v>290</v>
      </c>
    </row>
    <row r="80" spans="1:4" x14ac:dyDescent="0.25">
      <c r="A80" s="376">
        <v>3079</v>
      </c>
      <c r="B80" s="376" t="s">
        <v>778</v>
      </c>
      <c r="C80" s="415">
        <v>2600</v>
      </c>
      <c r="D80" s="415" t="s">
        <v>290</v>
      </c>
    </row>
    <row r="81" spans="1:4" x14ac:dyDescent="0.25">
      <c r="A81" s="376">
        <v>3080</v>
      </c>
      <c r="B81" s="376" t="s">
        <v>777</v>
      </c>
      <c r="C81" s="415">
        <v>2600</v>
      </c>
      <c r="D81" s="415" t="s">
        <v>290</v>
      </c>
    </row>
    <row r="82" spans="1:4" x14ac:dyDescent="0.25">
      <c r="A82" s="376">
        <v>3081</v>
      </c>
      <c r="B82" s="376" t="s">
        <v>776</v>
      </c>
      <c r="C82" s="415">
        <v>2600</v>
      </c>
      <c r="D82" s="415" t="s">
        <v>290</v>
      </c>
    </row>
    <row r="83" spans="1:4" x14ac:dyDescent="0.25">
      <c r="A83" s="376">
        <v>3082</v>
      </c>
      <c r="B83" s="376" t="s">
        <v>775</v>
      </c>
      <c r="C83" s="415">
        <v>2600</v>
      </c>
      <c r="D83" s="415" t="s">
        <v>290</v>
      </c>
    </row>
    <row r="84" spans="1:4" x14ac:dyDescent="0.25">
      <c r="A84" s="376">
        <v>3083</v>
      </c>
      <c r="B84" s="376" t="s">
        <v>774</v>
      </c>
      <c r="C84" s="415">
        <v>2600</v>
      </c>
      <c r="D84" s="415" t="s">
        <v>290</v>
      </c>
    </row>
    <row r="85" spans="1:4" x14ac:dyDescent="0.25">
      <c r="A85" s="376">
        <v>3084</v>
      </c>
      <c r="B85" s="376" t="s">
        <v>773</v>
      </c>
      <c r="C85" s="415">
        <v>2600</v>
      </c>
      <c r="D85" s="415" t="s">
        <v>290</v>
      </c>
    </row>
    <row r="86" spans="1:4" x14ac:dyDescent="0.25">
      <c r="A86" s="376">
        <v>3085</v>
      </c>
      <c r="B86" s="376" t="s">
        <v>772</v>
      </c>
      <c r="C86" s="415">
        <v>2600</v>
      </c>
      <c r="D86" s="415" t="s">
        <v>290</v>
      </c>
    </row>
    <row r="87" spans="1:4" x14ac:dyDescent="0.25">
      <c r="A87" s="376">
        <v>3086</v>
      </c>
      <c r="B87" s="376" t="s">
        <v>771</v>
      </c>
      <c r="C87" s="415">
        <v>70</v>
      </c>
      <c r="D87" s="415" t="s">
        <v>290</v>
      </c>
    </row>
    <row r="88" spans="1:4" x14ac:dyDescent="0.25">
      <c r="A88" s="376">
        <v>3087</v>
      </c>
      <c r="B88" s="376" t="s">
        <v>770</v>
      </c>
      <c r="C88" s="415">
        <v>1300</v>
      </c>
      <c r="D88" s="415" t="s">
        <v>290</v>
      </c>
    </row>
    <row r="89" spans="1:4" x14ac:dyDescent="0.25">
      <c r="A89" s="376">
        <v>3088</v>
      </c>
      <c r="B89" s="376" t="s">
        <v>769</v>
      </c>
      <c r="C89" s="415">
        <v>1300</v>
      </c>
      <c r="D89" s="415" t="s">
        <v>290</v>
      </c>
    </row>
    <row r="90" spans="1:4" x14ac:dyDescent="0.25">
      <c r="A90" s="376">
        <v>3089</v>
      </c>
      <c r="B90" s="376" t="s">
        <v>768</v>
      </c>
      <c r="C90" s="415">
        <v>1300</v>
      </c>
      <c r="D90" s="415" t="s">
        <v>290</v>
      </c>
    </row>
    <row r="91" spans="1:4" x14ac:dyDescent="0.25">
      <c r="A91" s="376">
        <v>3090</v>
      </c>
      <c r="B91" s="376" t="s">
        <v>767</v>
      </c>
      <c r="C91" s="415">
        <v>1300</v>
      </c>
      <c r="D91" s="415" t="s">
        <v>290</v>
      </c>
    </row>
    <row r="92" spans="1:4" x14ac:dyDescent="0.25">
      <c r="A92" s="376">
        <v>3091</v>
      </c>
      <c r="B92" s="376" t="s">
        <v>766</v>
      </c>
      <c r="C92" s="415">
        <v>1300</v>
      </c>
      <c r="D92" s="415" t="s">
        <v>290</v>
      </c>
    </row>
    <row r="93" spans="1:4" x14ac:dyDescent="0.25">
      <c r="A93" s="376">
        <v>3092</v>
      </c>
      <c r="B93" s="376" t="s">
        <v>765</v>
      </c>
      <c r="C93" s="415">
        <v>1300</v>
      </c>
      <c r="D93" s="415" t="s">
        <v>290</v>
      </c>
    </row>
    <row r="94" spans="1:4" x14ac:dyDescent="0.25">
      <c r="A94" s="376">
        <v>3093</v>
      </c>
      <c r="B94" s="376" t="s">
        <v>764</v>
      </c>
      <c r="C94" s="415">
        <v>1300</v>
      </c>
      <c r="D94" s="415" t="s">
        <v>290</v>
      </c>
    </row>
    <row r="95" spans="1:4" x14ac:dyDescent="0.25">
      <c r="A95" s="376">
        <v>3094</v>
      </c>
      <c r="B95" s="376" t="s">
        <v>763</v>
      </c>
      <c r="C95" s="415">
        <v>1300</v>
      </c>
      <c r="D95" s="415" t="s">
        <v>290</v>
      </c>
    </row>
    <row r="96" spans="1:4" x14ac:dyDescent="0.25">
      <c r="A96" s="376">
        <v>3095</v>
      </c>
      <c r="B96" s="376" t="s">
        <v>762</v>
      </c>
      <c r="C96" s="415">
        <v>1300</v>
      </c>
      <c r="D96" s="415" t="s">
        <v>290</v>
      </c>
    </row>
    <row r="97" spans="1:4" x14ac:dyDescent="0.25">
      <c r="A97" s="376">
        <v>3096</v>
      </c>
      <c r="B97" s="376" t="s">
        <v>761</v>
      </c>
      <c r="C97" s="415">
        <v>1300</v>
      </c>
      <c r="D97" s="415" t="s">
        <v>290</v>
      </c>
    </row>
    <row r="98" spans="1:4" x14ac:dyDescent="0.25">
      <c r="A98" s="376">
        <v>3097</v>
      </c>
      <c r="B98" s="376" t="s">
        <v>760</v>
      </c>
      <c r="C98" s="415">
        <v>7000</v>
      </c>
      <c r="D98" s="415" t="s">
        <v>290</v>
      </c>
    </row>
    <row r="99" spans="1:4" x14ac:dyDescent="0.25">
      <c r="A99" s="376">
        <v>3098</v>
      </c>
      <c r="B99" s="376" t="s">
        <v>759</v>
      </c>
      <c r="C99" s="415">
        <v>3200</v>
      </c>
      <c r="D99" s="415" t="s">
        <v>290</v>
      </c>
    </row>
    <row r="100" spans="1:4" x14ac:dyDescent="0.25">
      <c r="A100" s="376">
        <v>3099</v>
      </c>
      <c r="B100" s="376" t="s">
        <v>758</v>
      </c>
      <c r="C100" s="415">
        <v>3200</v>
      </c>
      <c r="D100" s="415" t="s">
        <v>290</v>
      </c>
    </row>
    <row r="101" spans="1:4" x14ac:dyDescent="0.25">
      <c r="A101" s="376">
        <v>3100</v>
      </c>
      <c r="B101" s="376" t="s">
        <v>757</v>
      </c>
      <c r="C101" s="415">
        <v>3200</v>
      </c>
      <c r="D101" s="415" t="s">
        <v>290</v>
      </c>
    </row>
    <row r="102" spans="1:4" x14ac:dyDescent="0.25">
      <c r="A102" s="376">
        <v>3101</v>
      </c>
      <c r="B102" s="376" t="s">
        <v>756</v>
      </c>
      <c r="C102" s="415">
        <v>3200</v>
      </c>
      <c r="D102" s="415" t="s">
        <v>290</v>
      </c>
    </row>
    <row r="103" spans="1:4" x14ac:dyDescent="0.25">
      <c r="A103" s="376">
        <v>3102</v>
      </c>
      <c r="B103" s="376" t="s">
        <v>755</v>
      </c>
      <c r="C103" s="415">
        <v>3200</v>
      </c>
      <c r="D103" s="415" t="s">
        <v>290</v>
      </c>
    </row>
    <row r="104" spans="1:4" x14ac:dyDescent="0.25">
      <c r="A104" s="376">
        <v>3103</v>
      </c>
      <c r="B104" s="376" t="s">
        <v>754</v>
      </c>
      <c r="C104" s="415">
        <v>3200</v>
      </c>
      <c r="D104" s="415" t="s">
        <v>290</v>
      </c>
    </row>
    <row r="105" spans="1:4" x14ac:dyDescent="0.25">
      <c r="A105" s="376">
        <v>3104</v>
      </c>
      <c r="B105" s="376" t="s">
        <v>753</v>
      </c>
      <c r="C105" s="415">
        <v>1300</v>
      </c>
      <c r="D105" s="415" t="s">
        <v>290</v>
      </c>
    </row>
    <row r="106" spans="1:4" x14ac:dyDescent="0.25">
      <c r="A106" s="376">
        <v>3105</v>
      </c>
      <c r="B106" s="376" t="s">
        <v>752</v>
      </c>
      <c r="C106" s="415">
        <v>1300</v>
      </c>
      <c r="D106" s="415" t="s">
        <v>290</v>
      </c>
    </row>
    <row r="107" spans="1:4" x14ac:dyDescent="0.25">
      <c r="A107" s="376">
        <v>3106</v>
      </c>
      <c r="B107" s="376" t="s">
        <v>751</v>
      </c>
      <c r="C107" s="415">
        <v>1300</v>
      </c>
      <c r="D107" s="415" t="s">
        <v>290</v>
      </c>
    </row>
    <row r="108" spans="1:4" x14ac:dyDescent="0.25">
      <c r="A108" s="376">
        <v>3107</v>
      </c>
      <c r="B108" s="376" t="s">
        <v>750</v>
      </c>
      <c r="C108" s="415">
        <v>1300</v>
      </c>
      <c r="D108" s="415" t="s">
        <v>290</v>
      </c>
    </row>
    <row r="109" spans="1:4" x14ac:dyDescent="0.25">
      <c r="A109" s="376">
        <v>3108</v>
      </c>
      <c r="B109" s="376" t="s">
        <v>749</v>
      </c>
      <c r="C109" s="415">
        <v>6500</v>
      </c>
      <c r="D109" s="415" t="s">
        <v>290</v>
      </c>
    </row>
    <row r="110" spans="1:4" x14ac:dyDescent="0.25">
      <c r="A110" s="376">
        <v>3109</v>
      </c>
      <c r="B110" s="376" t="s">
        <v>748</v>
      </c>
      <c r="C110" s="415">
        <v>6500</v>
      </c>
      <c r="D110" s="415" t="s">
        <v>290</v>
      </c>
    </row>
    <row r="111" spans="1:4" x14ac:dyDescent="0.25">
      <c r="A111" s="376">
        <v>3110</v>
      </c>
      <c r="B111" s="376" t="s">
        <v>747</v>
      </c>
      <c r="C111" s="415">
        <v>6500</v>
      </c>
      <c r="D111" s="415" t="s">
        <v>290</v>
      </c>
    </row>
    <row r="112" spans="1:4" x14ac:dyDescent="0.25">
      <c r="A112" s="376">
        <v>3111</v>
      </c>
      <c r="B112" s="376" t="s">
        <v>746</v>
      </c>
      <c r="C112" s="415">
        <v>6500</v>
      </c>
      <c r="D112" s="415" t="s">
        <v>290</v>
      </c>
    </row>
    <row r="113" spans="1:4" x14ac:dyDescent="0.25">
      <c r="A113" s="376">
        <v>3112</v>
      </c>
      <c r="B113" s="376" t="s">
        <v>745</v>
      </c>
      <c r="C113" s="415">
        <v>6500</v>
      </c>
      <c r="D113" s="415" t="s">
        <v>290</v>
      </c>
    </row>
    <row r="114" spans="1:4" x14ac:dyDescent="0.25">
      <c r="A114" s="376">
        <v>3113</v>
      </c>
      <c r="B114" s="378" t="s">
        <v>744</v>
      </c>
      <c r="C114" s="415">
        <v>6500</v>
      </c>
      <c r="D114" s="415" t="s">
        <v>290</v>
      </c>
    </row>
    <row r="115" spans="1:4" x14ac:dyDescent="0.25">
      <c r="A115" s="376">
        <v>3114</v>
      </c>
      <c r="B115" s="378" t="s">
        <v>743</v>
      </c>
      <c r="C115" s="415">
        <v>6500</v>
      </c>
      <c r="D115" s="415" t="s">
        <v>290</v>
      </c>
    </row>
    <row r="116" spans="1:4" x14ac:dyDescent="0.25">
      <c r="A116" s="376">
        <v>3115</v>
      </c>
      <c r="B116" s="378" t="s">
        <v>742</v>
      </c>
      <c r="C116" s="415">
        <v>6500</v>
      </c>
      <c r="D116" s="415" t="s">
        <v>290</v>
      </c>
    </row>
    <row r="117" spans="1:4" x14ac:dyDescent="0.25">
      <c r="A117" s="376">
        <v>3116</v>
      </c>
      <c r="B117" s="378" t="s">
        <v>741</v>
      </c>
      <c r="C117" s="415">
        <v>6500</v>
      </c>
      <c r="D117" s="415" t="s">
        <v>290</v>
      </c>
    </row>
    <row r="118" spans="1:4" x14ac:dyDescent="0.25">
      <c r="A118" s="376">
        <v>3117</v>
      </c>
      <c r="B118" s="378" t="s">
        <v>740</v>
      </c>
      <c r="C118" s="415">
        <v>6500</v>
      </c>
      <c r="D118" s="415" t="s">
        <v>290</v>
      </c>
    </row>
    <row r="119" spans="1:4" x14ac:dyDescent="0.25">
      <c r="A119" s="376">
        <v>3118</v>
      </c>
      <c r="B119" s="378" t="s">
        <v>739</v>
      </c>
      <c r="C119" s="415">
        <v>6500</v>
      </c>
      <c r="D119" s="415" t="s">
        <v>290</v>
      </c>
    </row>
    <row r="120" spans="1:4" x14ac:dyDescent="0.25">
      <c r="A120" s="376">
        <v>3119</v>
      </c>
      <c r="B120" s="378" t="s">
        <v>738</v>
      </c>
      <c r="C120" s="415">
        <v>6500</v>
      </c>
      <c r="D120" s="415" t="s">
        <v>290</v>
      </c>
    </row>
    <row r="121" spans="1:4" x14ac:dyDescent="0.25">
      <c r="A121" s="376">
        <v>3120</v>
      </c>
      <c r="B121" s="378" t="s">
        <v>737</v>
      </c>
      <c r="C121" s="415">
        <v>6500</v>
      </c>
      <c r="D121" s="415" t="s">
        <v>290</v>
      </c>
    </row>
    <row r="122" spans="1:4" x14ac:dyDescent="0.25">
      <c r="A122" s="376">
        <v>3121</v>
      </c>
      <c r="B122" s="378" t="s">
        <v>736</v>
      </c>
      <c r="C122" s="415">
        <v>6500</v>
      </c>
      <c r="D122" s="415" t="s">
        <v>290</v>
      </c>
    </row>
    <row r="123" spans="1:4" x14ac:dyDescent="0.25">
      <c r="A123" s="376">
        <v>3122</v>
      </c>
      <c r="B123" s="378" t="s">
        <v>735</v>
      </c>
      <c r="C123" s="415">
        <v>6500</v>
      </c>
      <c r="D123" s="415" t="s">
        <v>290</v>
      </c>
    </row>
    <row r="124" spans="1:4" x14ac:dyDescent="0.25">
      <c r="A124" s="376">
        <v>3123</v>
      </c>
      <c r="B124" s="378" t="s">
        <v>734</v>
      </c>
      <c r="C124" s="415">
        <v>6500</v>
      </c>
      <c r="D124" s="415" t="s">
        <v>290</v>
      </c>
    </row>
    <row r="125" spans="1:4" x14ac:dyDescent="0.25">
      <c r="A125" s="376">
        <v>3124</v>
      </c>
      <c r="B125" s="378" t="s">
        <v>733</v>
      </c>
      <c r="C125" s="415">
        <v>6500</v>
      </c>
      <c r="D125" s="415" t="s">
        <v>290</v>
      </c>
    </row>
    <row r="126" spans="1:4" x14ac:dyDescent="0.25">
      <c r="A126" s="376">
        <v>3125</v>
      </c>
      <c r="B126" s="378" t="s">
        <v>732</v>
      </c>
      <c r="C126" s="415">
        <v>6500</v>
      </c>
      <c r="D126" s="415" t="s">
        <v>290</v>
      </c>
    </row>
    <row r="127" spans="1:4" x14ac:dyDescent="0.25">
      <c r="A127" s="376">
        <v>3126</v>
      </c>
      <c r="B127" s="378" t="s">
        <v>731</v>
      </c>
      <c r="C127" s="415">
        <v>6500</v>
      </c>
      <c r="D127" s="415" t="s">
        <v>290</v>
      </c>
    </row>
    <row r="128" spans="1:4" x14ac:dyDescent="0.25">
      <c r="A128" s="376">
        <v>3127</v>
      </c>
      <c r="B128" s="376" t="s">
        <v>730</v>
      </c>
      <c r="C128" s="415">
        <v>6500</v>
      </c>
      <c r="D128" s="415" t="s">
        <v>290</v>
      </c>
    </row>
    <row r="129" spans="1:4" x14ac:dyDescent="0.25">
      <c r="A129" s="376">
        <v>3128</v>
      </c>
      <c r="B129" s="376" t="s">
        <v>729</v>
      </c>
      <c r="C129" s="415">
        <v>6500</v>
      </c>
      <c r="D129" s="415" t="s">
        <v>290</v>
      </c>
    </row>
    <row r="130" spans="1:4" x14ac:dyDescent="0.25">
      <c r="A130" s="376">
        <v>3129</v>
      </c>
      <c r="B130" s="376" t="s">
        <v>728</v>
      </c>
      <c r="C130" s="415">
        <v>6500</v>
      </c>
      <c r="D130" s="415" t="s">
        <v>290</v>
      </c>
    </row>
    <row r="131" spans="1:4" x14ac:dyDescent="0.25">
      <c r="A131" s="376">
        <v>3130</v>
      </c>
      <c r="B131" s="376" t="s">
        <v>727</v>
      </c>
      <c r="C131" s="415">
        <v>6500</v>
      </c>
      <c r="D131" s="415" t="s">
        <v>290</v>
      </c>
    </row>
    <row r="132" spans="1:4" x14ac:dyDescent="0.25">
      <c r="A132" s="376">
        <v>3131</v>
      </c>
      <c r="B132" s="376" t="s">
        <v>726</v>
      </c>
      <c r="C132" s="415">
        <v>6500</v>
      </c>
      <c r="D132" s="415" t="s">
        <v>290</v>
      </c>
    </row>
    <row r="133" spans="1:4" x14ac:dyDescent="0.25">
      <c r="A133" s="376">
        <v>3132</v>
      </c>
      <c r="B133" s="376" t="s">
        <v>725</v>
      </c>
      <c r="C133" s="415">
        <v>6500</v>
      </c>
      <c r="D133" s="415" t="s">
        <v>290</v>
      </c>
    </row>
    <row r="134" spans="1:4" x14ac:dyDescent="0.25">
      <c r="A134" s="376">
        <v>3133</v>
      </c>
      <c r="B134" s="376" t="s">
        <v>724</v>
      </c>
      <c r="C134" s="415">
        <v>6500</v>
      </c>
      <c r="D134" s="415" t="s">
        <v>290</v>
      </c>
    </row>
    <row r="135" spans="1:4" x14ac:dyDescent="0.25">
      <c r="A135" s="376">
        <v>3134</v>
      </c>
      <c r="B135" s="376" t="s">
        <v>723</v>
      </c>
      <c r="C135" s="415">
        <v>6500</v>
      </c>
      <c r="D135" s="415" t="s">
        <v>290</v>
      </c>
    </row>
    <row r="136" spans="1:4" x14ac:dyDescent="0.25">
      <c r="A136" s="376">
        <v>3135</v>
      </c>
      <c r="B136" s="376" t="s">
        <v>722</v>
      </c>
      <c r="C136" s="415">
        <v>6500</v>
      </c>
      <c r="D136" s="415" t="s">
        <v>290</v>
      </c>
    </row>
    <row r="137" spans="1:4" x14ac:dyDescent="0.25">
      <c r="A137" s="376">
        <v>3136</v>
      </c>
      <c r="B137" s="376" t="s">
        <v>721</v>
      </c>
      <c r="C137" s="415">
        <v>6500</v>
      </c>
      <c r="D137" s="415" t="s">
        <v>290</v>
      </c>
    </row>
    <row r="138" spans="1:4" x14ac:dyDescent="0.25">
      <c r="A138" s="376">
        <v>3137</v>
      </c>
      <c r="B138" s="376" t="s">
        <v>720</v>
      </c>
      <c r="C138" s="415">
        <v>6500</v>
      </c>
      <c r="D138" s="415" t="s">
        <v>290</v>
      </c>
    </row>
    <row r="139" spans="1:4" x14ac:dyDescent="0.25">
      <c r="A139" s="376">
        <v>3138</v>
      </c>
      <c r="B139" s="376" t="s">
        <v>719</v>
      </c>
      <c r="C139" s="415">
        <v>6500</v>
      </c>
      <c r="D139" s="415" t="s">
        <v>290</v>
      </c>
    </row>
    <row r="140" spans="1:4" x14ac:dyDescent="0.25">
      <c r="A140" s="376">
        <v>3139</v>
      </c>
      <c r="B140" s="376" t="s">
        <v>718</v>
      </c>
      <c r="C140" s="415">
        <v>6500</v>
      </c>
      <c r="D140" s="415" t="s">
        <v>290</v>
      </c>
    </row>
    <row r="141" spans="1:4" x14ac:dyDescent="0.25">
      <c r="A141" s="376">
        <v>3140</v>
      </c>
      <c r="B141" s="376" t="s">
        <v>717</v>
      </c>
      <c r="C141" s="415">
        <v>6500</v>
      </c>
      <c r="D141" s="415" t="s">
        <v>290</v>
      </c>
    </row>
    <row r="142" spans="1:4" x14ac:dyDescent="0.25">
      <c r="A142" s="376">
        <v>3141</v>
      </c>
      <c r="B142" s="376" t="s">
        <v>716</v>
      </c>
      <c r="C142" s="415">
        <v>6500</v>
      </c>
      <c r="D142" s="415" t="s">
        <v>290</v>
      </c>
    </row>
    <row r="143" spans="1:4" x14ac:dyDescent="0.25">
      <c r="A143" s="376">
        <v>3142</v>
      </c>
      <c r="B143" s="376" t="s">
        <v>715</v>
      </c>
      <c r="C143" s="415">
        <v>6500</v>
      </c>
      <c r="D143" s="415" t="s">
        <v>290</v>
      </c>
    </row>
    <row r="144" spans="1:4" x14ac:dyDescent="0.25">
      <c r="A144" s="376">
        <v>3143</v>
      </c>
      <c r="B144" s="376" t="s">
        <v>714</v>
      </c>
      <c r="C144" s="415">
        <v>6500</v>
      </c>
      <c r="D144" s="415" t="s">
        <v>290</v>
      </c>
    </row>
    <row r="145" spans="1:4" x14ac:dyDescent="0.25">
      <c r="A145" s="376">
        <v>3144</v>
      </c>
      <c r="B145" s="376" t="s">
        <v>713</v>
      </c>
      <c r="C145" s="415">
        <v>6500</v>
      </c>
      <c r="D145" s="415" t="s">
        <v>290</v>
      </c>
    </row>
    <row r="146" spans="1:4" x14ac:dyDescent="0.25">
      <c r="A146" s="376">
        <v>3145</v>
      </c>
      <c r="B146" s="376" t="s">
        <v>712</v>
      </c>
      <c r="C146" s="415">
        <v>6500</v>
      </c>
      <c r="D146" s="415" t="s">
        <v>290</v>
      </c>
    </row>
    <row r="147" spans="1:4" x14ac:dyDescent="0.25">
      <c r="A147" s="376">
        <v>3146</v>
      </c>
      <c r="B147" s="376" t="s">
        <v>711</v>
      </c>
      <c r="C147" s="415">
        <v>6500</v>
      </c>
      <c r="D147" s="415" t="s">
        <v>290</v>
      </c>
    </row>
    <row r="148" spans="1:4" x14ac:dyDescent="0.25">
      <c r="A148" s="376">
        <v>3147</v>
      </c>
      <c r="B148" s="376" t="s">
        <v>710</v>
      </c>
      <c r="C148" s="415">
        <v>6500</v>
      </c>
      <c r="D148" s="415" t="s">
        <v>290</v>
      </c>
    </row>
    <row r="149" spans="1:4" x14ac:dyDescent="0.25">
      <c r="A149" s="376">
        <v>3148</v>
      </c>
      <c r="B149" s="376" t="s">
        <v>709</v>
      </c>
      <c r="C149" s="415">
        <v>25000</v>
      </c>
      <c r="D149" s="415" t="s">
        <v>290</v>
      </c>
    </row>
    <row r="150" spans="1:4" x14ac:dyDescent="0.25">
      <c r="A150" s="376">
        <v>3149</v>
      </c>
      <c r="B150" s="376" t="s">
        <v>708</v>
      </c>
      <c r="C150" s="415">
        <v>6500</v>
      </c>
      <c r="D150" s="415" t="s">
        <v>290</v>
      </c>
    </row>
    <row r="151" spans="1:4" x14ac:dyDescent="0.25">
      <c r="A151" s="376">
        <v>3150</v>
      </c>
      <c r="B151" s="376" t="s">
        <v>707</v>
      </c>
      <c r="C151" s="415">
        <v>6500</v>
      </c>
      <c r="D151" s="415" t="s">
        <v>290</v>
      </c>
    </row>
    <row r="152" spans="1:4" x14ac:dyDescent="0.25">
      <c r="A152" s="376">
        <v>3151</v>
      </c>
      <c r="B152" s="376" t="s">
        <v>706</v>
      </c>
      <c r="C152" s="415">
        <v>6500</v>
      </c>
      <c r="D152" s="415" t="s">
        <v>290</v>
      </c>
    </row>
    <row r="153" spans="1:4" x14ac:dyDescent="0.25">
      <c r="A153" s="376">
        <v>3152</v>
      </c>
      <c r="B153" s="376" t="s">
        <v>705</v>
      </c>
      <c r="C153" s="415">
        <v>6500</v>
      </c>
      <c r="D153" s="415" t="s">
        <v>290</v>
      </c>
    </row>
    <row r="154" spans="1:4" x14ac:dyDescent="0.25">
      <c r="A154" s="376">
        <v>3153</v>
      </c>
      <c r="B154" s="376" t="s">
        <v>704</v>
      </c>
      <c r="C154" s="415">
        <v>6500</v>
      </c>
      <c r="D154" s="415" t="s">
        <v>290</v>
      </c>
    </row>
    <row r="155" spans="1:4" x14ac:dyDescent="0.25">
      <c r="A155" s="376">
        <v>3154</v>
      </c>
      <c r="B155" s="376" t="s">
        <v>703</v>
      </c>
      <c r="C155" s="415">
        <v>6500</v>
      </c>
      <c r="D155" s="415" t="s">
        <v>290</v>
      </c>
    </row>
    <row r="156" spans="1:4" x14ac:dyDescent="0.25">
      <c r="A156" s="376">
        <v>3155</v>
      </c>
      <c r="B156" s="376" t="s">
        <v>702</v>
      </c>
      <c r="C156" s="415">
        <v>130000</v>
      </c>
      <c r="D156" s="415" t="s">
        <v>290</v>
      </c>
    </row>
    <row r="157" spans="1:4" x14ac:dyDescent="0.25">
      <c r="A157" s="376">
        <v>3156</v>
      </c>
      <c r="B157" s="376" t="s">
        <v>701</v>
      </c>
      <c r="C157" s="415">
        <v>130000</v>
      </c>
      <c r="D157" s="415" t="s">
        <v>290</v>
      </c>
    </row>
    <row r="158" spans="1:4" x14ac:dyDescent="0.25">
      <c r="A158" s="376">
        <v>3157</v>
      </c>
      <c r="B158" s="376" t="s">
        <v>700</v>
      </c>
      <c r="C158" s="417">
        <v>500</v>
      </c>
      <c r="D158" s="415" t="s">
        <v>290</v>
      </c>
    </row>
    <row r="159" spans="1:4" x14ac:dyDescent="0.25">
      <c r="A159" s="376">
        <v>3158</v>
      </c>
      <c r="B159" s="376" t="s">
        <v>699</v>
      </c>
      <c r="C159" s="417">
        <v>500</v>
      </c>
      <c r="D159" s="415" t="s">
        <v>290</v>
      </c>
    </row>
    <row r="160" spans="1:4" x14ac:dyDescent="0.25">
      <c r="A160" s="376">
        <v>3159</v>
      </c>
      <c r="B160" s="376" t="s">
        <v>698</v>
      </c>
      <c r="C160" s="417">
        <v>500</v>
      </c>
      <c r="D160" s="415" t="s">
        <v>290</v>
      </c>
    </row>
    <row r="161" spans="1:4" x14ac:dyDescent="0.25">
      <c r="A161" s="376">
        <v>3160</v>
      </c>
      <c r="B161" s="376" t="s">
        <v>697</v>
      </c>
      <c r="C161" s="417">
        <v>500</v>
      </c>
      <c r="D161" s="415" t="s">
        <v>290</v>
      </c>
    </row>
    <row r="162" spans="1:4" x14ac:dyDescent="0.25">
      <c r="A162" s="376">
        <v>3161</v>
      </c>
      <c r="B162" s="376" t="s">
        <v>696</v>
      </c>
      <c r="C162" s="417">
        <v>500</v>
      </c>
      <c r="D162" s="415" t="s">
        <v>290</v>
      </c>
    </row>
    <row r="163" spans="1:4" x14ac:dyDescent="0.25">
      <c r="A163" s="376">
        <v>3162</v>
      </c>
      <c r="B163" s="376" t="s">
        <v>695</v>
      </c>
      <c r="C163" s="417">
        <v>500</v>
      </c>
      <c r="D163" s="415" t="s">
        <v>290</v>
      </c>
    </row>
    <row r="164" spans="1:4" x14ac:dyDescent="0.25">
      <c r="A164" s="376">
        <v>3163</v>
      </c>
      <c r="B164" s="376" t="s">
        <v>694</v>
      </c>
      <c r="C164" s="417">
        <v>500</v>
      </c>
      <c r="D164" s="415" t="s">
        <v>290</v>
      </c>
    </row>
    <row r="165" spans="1:4" x14ac:dyDescent="0.25">
      <c r="A165" s="376">
        <v>3164</v>
      </c>
      <c r="B165" s="376" t="s">
        <v>693</v>
      </c>
      <c r="C165" s="417">
        <v>500</v>
      </c>
      <c r="D165" s="415" t="s">
        <v>290</v>
      </c>
    </row>
    <row r="166" spans="1:4" x14ac:dyDescent="0.25">
      <c r="A166" s="376">
        <v>3165</v>
      </c>
      <c r="B166" s="376" t="s">
        <v>692</v>
      </c>
      <c r="C166" s="417">
        <v>500</v>
      </c>
      <c r="D166" s="415" t="s">
        <v>290</v>
      </c>
    </row>
    <row r="167" spans="1:4" x14ac:dyDescent="0.25">
      <c r="A167" s="376">
        <v>3166</v>
      </c>
      <c r="B167" s="376" t="s">
        <v>691</v>
      </c>
      <c r="C167" s="417">
        <v>500</v>
      </c>
      <c r="D167" s="415" t="s">
        <v>290</v>
      </c>
    </row>
    <row r="168" spans="1:4" x14ac:dyDescent="0.25">
      <c r="A168" s="376">
        <v>3167</v>
      </c>
      <c r="B168" s="376" t="s">
        <v>690</v>
      </c>
      <c r="C168" s="417">
        <v>500</v>
      </c>
      <c r="D168" s="415" t="s">
        <v>290</v>
      </c>
    </row>
    <row r="169" spans="1:4" x14ac:dyDescent="0.25">
      <c r="A169" s="376">
        <v>3168</v>
      </c>
      <c r="B169" s="376" t="s">
        <v>689</v>
      </c>
      <c r="C169" s="417">
        <v>500</v>
      </c>
      <c r="D169" s="415" t="s">
        <v>290</v>
      </c>
    </row>
    <row r="170" spans="1:4" x14ac:dyDescent="0.25">
      <c r="A170" s="376">
        <v>3169</v>
      </c>
      <c r="B170" s="376" t="s">
        <v>688</v>
      </c>
      <c r="C170" s="415">
        <v>4300</v>
      </c>
      <c r="D170" s="415" t="s">
        <v>290</v>
      </c>
    </row>
    <row r="171" spans="1:4" x14ac:dyDescent="0.25">
      <c r="A171" s="376">
        <v>3170</v>
      </c>
      <c r="B171" s="376" t="s">
        <v>687</v>
      </c>
      <c r="C171" s="415">
        <v>4300</v>
      </c>
      <c r="D171" s="415" t="s">
        <v>290</v>
      </c>
    </row>
    <row r="172" spans="1:4" x14ac:dyDescent="0.25">
      <c r="A172" s="376">
        <v>3171</v>
      </c>
      <c r="B172" s="376" t="s">
        <v>686</v>
      </c>
      <c r="C172" s="415">
        <v>1700</v>
      </c>
      <c r="D172" s="415" t="s">
        <v>290</v>
      </c>
    </row>
    <row r="173" spans="1:4" x14ac:dyDescent="0.25">
      <c r="A173" s="376">
        <v>3172</v>
      </c>
      <c r="B173" s="376" t="s">
        <v>685</v>
      </c>
      <c r="C173" s="415">
        <v>1700</v>
      </c>
      <c r="D173" s="415" t="s">
        <v>290</v>
      </c>
    </row>
    <row r="174" spans="1:4" x14ac:dyDescent="0.25">
      <c r="A174" s="376">
        <v>3173</v>
      </c>
      <c r="B174" s="376" t="s">
        <v>684</v>
      </c>
      <c r="C174" s="415">
        <v>1700</v>
      </c>
      <c r="D174" s="415" t="s">
        <v>290</v>
      </c>
    </row>
    <row r="175" spans="1:4" x14ac:dyDescent="0.25">
      <c r="A175" s="376">
        <v>3174</v>
      </c>
      <c r="B175" s="376" t="s">
        <v>683</v>
      </c>
      <c r="C175" s="415">
        <v>1700</v>
      </c>
      <c r="D175" s="415" t="s">
        <v>290</v>
      </c>
    </row>
    <row r="176" spans="1:4" x14ac:dyDescent="0.25">
      <c r="A176" s="376">
        <v>3175</v>
      </c>
      <c r="B176" s="376" t="s">
        <v>682</v>
      </c>
      <c r="C176" s="415">
        <v>1700</v>
      </c>
      <c r="D176" s="415" t="s">
        <v>290</v>
      </c>
    </row>
    <row r="177" spans="1:4" x14ac:dyDescent="0.25">
      <c r="A177" s="376">
        <v>3176</v>
      </c>
      <c r="B177" s="376" t="s">
        <v>681</v>
      </c>
      <c r="C177" s="415">
        <v>1700</v>
      </c>
      <c r="D177" s="415" t="s">
        <v>290</v>
      </c>
    </row>
    <row r="178" spans="1:4" x14ac:dyDescent="0.25">
      <c r="A178" s="376">
        <v>3177</v>
      </c>
      <c r="B178" s="376" t="s">
        <v>680</v>
      </c>
      <c r="C178" s="415">
        <v>2800</v>
      </c>
      <c r="D178" s="415" t="s">
        <v>290</v>
      </c>
    </row>
    <row r="179" spans="1:4" x14ac:dyDescent="0.25">
      <c r="A179" s="376">
        <v>3178</v>
      </c>
      <c r="B179" s="376" t="s">
        <v>679</v>
      </c>
      <c r="C179" s="415">
        <v>2800</v>
      </c>
      <c r="D179" s="415" t="s">
        <v>290</v>
      </c>
    </row>
    <row r="180" spans="1:4" x14ac:dyDescent="0.25">
      <c r="A180" s="376">
        <v>3179</v>
      </c>
      <c r="B180" s="376" t="s">
        <v>678</v>
      </c>
      <c r="C180" s="415">
        <v>500</v>
      </c>
      <c r="D180" s="415" t="s">
        <v>290</v>
      </c>
    </row>
    <row r="181" spans="1:4" x14ac:dyDescent="0.25">
      <c r="A181" s="376">
        <v>3180</v>
      </c>
      <c r="B181" s="376" t="s">
        <v>677</v>
      </c>
      <c r="C181" s="415">
        <v>500</v>
      </c>
      <c r="D181" s="415" t="s">
        <v>290</v>
      </c>
    </row>
    <row r="182" spans="1:4" x14ac:dyDescent="0.25">
      <c r="A182" s="376">
        <v>3181</v>
      </c>
      <c r="B182" s="376" t="s">
        <v>676</v>
      </c>
      <c r="C182" s="415">
        <v>500</v>
      </c>
      <c r="D182" s="415" t="s">
        <v>290</v>
      </c>
    </row>
    <row r="183" spans="1:4" x14ac:dyDescent="0.25">
      <c r="A183" s="376">
        <v>3182</v>
      </c>
      <c r="B183" s="376" t="s">
        <v>675</v>
      </c>
      <c r="C183" s="415">
        <v>500</v>
      </c>
      <c r="D183" s="415" t="s">
        <v>290</v>
      </c>
    </row>
    <row r="184" spans="1:4" x14ac:dyDescent="0.25">
      <c r="A184" s="376">
        <v>3183</v>
      </c>
      <c r="B184" s="376" t="s">
        <v>674</v>
      </c>
      <c r="C184" s="415">
        <v>500</v>
      </c>
      <c r="D184" s="415" t="s">
        <v>290</v>
      </c>
    </row>
    <row r="185" spans="1:4" x14ac:dyDescent="0.25">
      <c r="A185" s="376">
        <v>3184</v>
      </c>
      <c r="B185" s="376" t="s">
        <v>673</v>
      </c>
      <c r="C185" s="415">
        <v>500</v>
      </c>
      <c r="D185" s="415" t="s">
        <v>290</v>
      </c>
    </row>
    <row r="186" spans="1:4" x14ac:dyDescent="0.25">
      <c r="A186" s="376">
        <v>3185</v>
      </c>
      <c r="B186" s="376" t="s">
        <v>672</v>
      </c>
      <c r="C186" s="415">
        <v>500</v>
      </c>
      <c r="D186" s="415" t="s">
        <v>290</v>
      </c>
    </row>
    <row r="187" spans="1:4" x14ac:dyDescent="0.25">
      <c r="A187" s="376">
        <v>3186</v>
      </c>
      <c r="B187" s="376" t="s">
        <v>671</v>
      </c>
      <c r="C187" s="415">
        <v>500</v>
      </c>
      <c r="D187" s="415" t="s">
        <v>290</v>
      </c>
    </row>
    <row r="188" spans="1:4" x14ac:dyDescent="0.25">
      <c r="A188" s="376">
        <v>3187</v>
      </c>
      <c r="B188" s="376" t="s">
        <v>670</v>
      </c>
      <c r="C188" s="415">
        <v>100</v>
      </c>
      <c r="D188" s="415" t="s">
        <v>290</v>
      </c>
    </row>
    <row r="189" spans="1:4" x14ac:dyDescent="0.25">
      <c r="A189" s="376">
        <v>3188</v>
      </c>
      <c r="B189" s="376" t="s">
        <v>669</v>
      </c>
      <c r="C189" s="415">
        <v>300</v>
      </c>
      <c r="D189" s="415" t="s">
        <v>290</v>
      </c>
    </row>
    <row r="190" spans="1:4" x14ac:dyDescent="0.25">
      <c r="A190" s="376">
        <v>3189</v>
      </c>
      <c r="B190" s="376" t="s">
        <v>668</v>
      </c>
      <c r="C190" s="415">
        <v>300</v>
      </c>
      <c r="D190" s="415" t="s">
        <v>290</v>
      </c>
    </row>
    <row r="191" spans="1:4" x14ac:dyDescent="0.25">
      <c r="A191" s="376">
        <v>3190</v>
      </c>
      <c r="B191" s="376" t="s">
        <v>667</v>
      </c>
      <c r="C191" s="415">
        <v>300</v>
      </c>
      <c r="D191" s="415" t="s">
        <v>290</v>
      </c>
    </row>
    <row r="192" spans="1:4" x14ac:dyDescent="0.25">
      <c r="A192" s="376">
        <v>3191</v>
      </c>
      <c r="B192" s="376" t="s">
        <v>666</v>
      </c>
      <c r="C192" s="415">
        <v>3200</v>
      </c>
      <c r="D192" s="415" t="s">
        <v>290</v>
      </c>
    </row>
    <row r="193" spans="1:4" x14ac:dyDescent="0.25">
      <c r="A193" s="376">
        <v>3192</v>
      </c>
      <c r="B193" s="376" t="s">
        <v>665</v>
      </c>
      <c r="C193" s="415">
        <v>3200</v>
      </c>
      <c r="D193" s="415" t="s">
        <v>290</v>
      </c>
    </row>
    <row r="194" spans="1:4" x14ac:dyDescent="0.25">
      <c r="A194" s="376">
        <v>3193</v>
      </c>
      <c r="B194" s="376" t="s">
        <v>664</v>
      </c>
      <c r="C194" s="415">
        <v>3200</v>
      </c>
      <c r="D194" s="415" t="s">
        <v>290</v>
      </c>
    </row>
    <row r="195" spans="1:4" x14ac:dyDescent="0.25">
      <c r="A195" s="376">
        <v>3194</v>
      </c>
      <c r="B195" s="376" t="s">
        <v>663</v>
      </c>
      <c r="C195" s="415">
        <v>5600</v>
      </c>
      <c r="D195" s="415" t="s">
        <v>290</v>
      </c>
    </row>
    <row r="196" spans="1:4" x14ac:dyDescent="0.25">
      <c r="A196" s="376">
        <v>3195</v>
      </c>
      <c r="B196" s="376" t="s">
        <v>662</v>
      </c>
      <c r="C196" s="415">
        <v>4350</v>
      </c>
      <c r="D196" s="415" t="s">
        <v>290</v>
      </c>
    </row>
    <row r="197" spans="1:4" x14ac:dyDescent="0.25">
      <c r="A197" s="376">
        <v>3196</v>
      </c>
      <c r="B197" s="376" t="s">
        <v>661</v>
      </c>
      <c r="C197" s="415">
        <v>13500</v>
      </c>
      <c r="D197" s="415" t="s">
        <v>657</v>
      </c>
    </row>
    <row r="198" spans="1:4" x14ac:dyDescent="0.25">
      <c r="A198" s="376">
        <v>3197</v>
      </c>
      <c r="B198" s="376" t="s">
        <v>660</v>
      </c>
      <c r="C198" s="415">
        <v>12500</v>
      </c>
      <c r="D198" s="415" t="s">
        <v>657</v>
      </c>
    </row>
    <row r="199" spans="1:4" x14ac:dyDescent="0.25">
      <c r="A199" s="376">
        <v>3198</v>
      </c>
      <c r="B199" s="376" t="s">
        <v>659</v>
      </c>
      <c r="C199" s="415">
        <v>6000</v>
      </c>
      <c r="D199" s="415" t="s">
        <v>657</v>
      </c>
    </row>
    <row r="200" spans="1:4" x14ac:dyDescent="0.25">
      <c r="A200" s="376">
        <v>3199</v>
      </c>
      <c r="B200" s="376" t="s">
        <v>658</v>
      </c>
      <c r="C200" s="415">
        <v>6000</v>
      </c>
      <c r="D200" s="415" t="s">
        <v>657</v>
      </c>
    </row>
    <row r="201" spans="1:4" x14ac:dyDescent="0.25">
      <c r="A201" s="376">
        <v>3200</v>
      </c>
      <c r="B201" s="376" t="s">
        <v>656</v>
      </c>
      <c r="C201" s="415">
        <v>713</v>
      </c>
      <c r="D201" s="415" t="s">
        <v>650</v>
      </c>
    </row>
    <row r="202" spans="1:4" x14ac:dyDescent="0.25">
      <c r="A202" s="376">
        <v>3201</v>
      </c>
      <c r="B202" s="376" t="s">
        <v>655</v>
      </c>
      <c r="C202" s="415">
        <v>713</v>
      </c>
      <c r="D202" s="415" t="s">
        <v>650</v>
      </c>
    </row>
    <row r="203" spans="1:4" x14ac:dyDescent="0.25">
      <c r="A203" s="376">
        <v>3202</v>
      </c>
      <c r="B203" s="376" t="s">
        <v>654</v>
      </c>
      <c r="C203" s="415">
        <v>713</v>
      </c>
      <c r="D203" s="415" t="s">
        <v>650</v>
      </c>
    </row>
    <row r="204" spans="1:4" x14ac:dyDescent="0.25">
      <c r="A204" s="376">
        <v>3203</v>
      </c>
      <c r="B204" s="376" t="s">
        <v>653</v>
      </c>
      <c r="C204" s="415">
        <v>713</v>
      </c>
      <c r="D204" s="415" t="s">
        <v>650</v>
      </c>
    </row>
    <row r="205" spans="1:4" x14ac:dyDescent="0.25">
      <c r="A205" s="376">
        <v>3204</v>
      </c>
      <c r="B205" s="376" t="s">
        <v>652</v>
      </c>
      <c r="C205" s="415">
        <v>713</v>
      </c>
      <c r="D205" s="415" t="s">
        <v>650</v>
      </c>
    </row>
    <row r="206" spans="1:4" x14ac:dyDescent="0.25">
      <c r="A206" s="376">
        <v>3205</v>
      </c>
      <c r="B206" s="376" t="s">
        <v>651</v>
      </c>
      <c r="C206" s="415">
        <v>713</v>
      </c>
      <c r="D206" s="415" t="s">
        <v>650</v>
      </c>
    </row>
    <row r="207" spans="1:4" x14ac:dyDescent="0.25">
      <c r="A207" s="376">
        <v>3206</v>
      </c>
      <c r="B207" s="376" t="s">
        <v>649</v>
      </c>
      <c r="C207" s="415">
        <v>900</v>
      </c>
      <c r="D207" s="415" t="s">
        <v>290</v>
      </c>
    </row>
    <row r="208" spans="1:4" x14ac:dyDescent="0.25">
      <c r="A208" s="376">
        <v>3207</v>
      </c>
      <c r="B208" s="376" t="s">
        <v>648</v>
      </c>
      <c r="C208" s="415">
        <v>900</v>
      </c>
      <c r="D208" s="415" t="s">
        <v>290</v>
      </c>
    </row>
    <row r="209" spans="1:4" x14ac:dyDescent="0.25">
      <c r="A209" s="376">
        <v>3208</v>
      </c>
      <c r="B209" s="376" t="s">
        <v>647</v>
      </c>
      <c r="C209" s="415">
        <v>900</v>
      </c>
      <c r="D209" s="415" t="s">
        <v>290</v>
      </c>
    </row>
    <row r="210" spans="1:4" x14ac:dyDescent="0.25">
      <c r="A210" s="376">
        <v>3209</v>
      </c>
      <c r="B210" s="376" t="s">
        <v>646</v>
      </c>
      <c r="C210" s="415">
        <v>34500</v>
      </c>
      <c r="D210" s="415" t="s">
        <v>290</v>
      </c>
    </row>
    <row r="211" spans="1:4" x14ac:dyDescent="0.25">
      <c r="A211" s="376">
        <v>3210</v>
      </c>
      <c r="B211" s="376" t="s">
        <v>645</v>
      </c>
      <c r="C211" s="415">
        <v>34500</v>
      </c>
      <c r="D211" s="415" t="s">
        <v>290</v>
      </c>
    </row>
    <row r="212" spans="1:4" x14ac:dyDescent="0.25">
      <c r="A212" s="376">
        <v>3211</v>
      </c>
      <c r="B212" s="376" t="s">
        <v>644</v>
      </c>
      <c r="C212" s="415">
        <v>27800</v>
      </c>
      <c r="D212" s="415" t="s">
        <v>290</v>
      </c>
    </row>
    <row r="213" spans="1:4" x14ac:dyDescent="0.25">
      <c r="A213" s="376">
        <v>3212</v>
      </c>
      <c r="B213" s="376" t="s">
        <v>643</v>
      </c>
      <c r="C213" s="415">
        <v>27800</v>
      </c>
      <c r="D213" s="415" t="s">
        <v>290</v>
      </c>
    </row>
    <row r="214" spans="1:4" x14ac:dyDescent="0.25">
      <c r="A214" s="376">
        <v>3213</v>
      </c>
      <c r="B214" s="376" t="s">
        <v>642</v>
      </c>
      <c r="C214" s="415">
        <v>27800</v>
      </c>
      <c r="D214" s="415" t="s">
        <v>290</v>
      </c>
    </row>
    <row r="215" spans="1:4" x14ac:dyDescent="0.25">
      <c r="A215" s="376">
        <v>3214</v>
      </c>
      <c r="B215" s="376" t="s">
        <v>641</v>
      </c>
      <c r="C215" s="415">
        <v>27800</v>
      </c>
      <c r="D215" s="415" t="s">
        <v>290</v>
      </c>
    </row>
    <row r="216" spans="1:4" x14ac:dyDescent="0.25">
      <c r="A216" s="376">
        <v>3215</v>
      </c>
      <c r="B216" s="376" t="s">
        <v>640</v>
      </c>
      <c r="C216" s="415">
        <v>27800</v>
      </c>
      <c r="D216" s="415" t="s">
        <v>290</v>
      </c>
    </row>
    <row r="217" spans="1:4" x14ac:dyDescent="0.25">
      <c r="A217" s="376">
        <v>3216</v>
      </c>
      <c r="B217" s="376" t="s">
        <v>639</v>
      </c>
      <c r="C217" s="415">
        <v>27800</v>
      </c>
      <c r="D217" s="415" t="s">
        <v>290</v>
      </c>
    </row>
    <row r="218" spans="1:4" x14ac:dyDescent="0.25">
      <c r="A218" s="376">
        <v>3217</v>
      </c>
      <c r="B218" s="376" t="s">
        <v>638</v>
      </c>
      <c r="C218" s="415">
        <v>27800</v>
      </c>
      <c r="D218" s="415" t="s">
        <v>290</v>
      </c>
    </row>
    <row r="219" spans="1:4" x14ac:dyDescent="0.25">
      <c r="A219" s="376">
        <v>3218</v>
      </c>
      <c r="B219" s="376" t="s">
        <v>637</v>
      </c>
      <c r="C219" s="415">
        <v>27800</v>
      </c>
      <c r="D219" s="415" t="s">
        <v>290</v>
      </c>
    </row>
    <row r="220" spans="1:4" x14ac:dyDescent="0.25">
      <c r="A220" s="376">
        <v>3219</v>
      </c>
      <c r="B220" s="376" t="s">
        <v>636</v>
      </c>
      <c r="C220" s="415">
        <v>27800</v>
      </c>
      <c r="D220" s="415" t="s">
        <v>290</v>
      </c>
    </row>
    <row r="221" spans="1:4" x14ac:dyDescent="0.25">
      <c r="A221" s="376">
        <v>3220</v>
      </c>
      <c r="B221" s="376" t="s">
        <v>635</v>
      </c>
      <c r="C221" s="415">
        <v>27800</v>
      </c>
      <c r="D221" s="415" t="s">
        <v>290</v>
      </c>
    </row>
    <row r="222" spans="1:4" x14ac:dyDescent="0.25">
      <c r="A222" s="376">
        <v>3221</v>
      </c>
      <c r="B222" s="376" t="s">
        <v>634</v>
      </c>
      <c r="C222" s="415">
        <v>27800</v>
      </c>
      <c r="D222" s="415" t="s">
        <v>290</v>
      </c>
    </row>
    <row r="223" spans="1:4" x14ac:dyDescent="0.25">
      <c r="A223" s="376">
        <v>3222</v>
      </c>
      <c r="B223" s="376" t="s">
        <v>633</v>
      </c>
      <c r="C223" s="415">
        <v>27800</v>
      </c>
      <c r="D223" s="415" t="s">
        <v>290</v>
      </c>
    </row>
    <row r="224" spans="1:4" x14ac:dyDescent="0.25">
      <c r="A224" s="376">
        <v>3223</v>
      </c>
      <c r="B224" s="376" t="s">
        <v>632</v>
      </c>
      <c r="C224" s="415">
        <v>1300</v>
      </c>
      <c r="D224" s="415" t="s">
        <v>290</v>
      </c>
    </row>
    <row r="225" spans="1:4" x14ac:dyDescent="0.25">
      <c r="A225" s="376">
        <v>3224</v>
      </c>
      <c r="B225" s="376" t="s">
        <v>631</v>
      </c>
      <c r="C225" s="415">
        <v>1300</v>
      </c>
      <c r="D225" s="415" t="s">
        <v>290</v>
      </c>
    </row>
    <row r="226" spans="1:4" x14ac:dyDescent="0.25">
      <c r="A226" s="376">
        <v>3225</v>
      </c>
      <c r="B226" s="376" t="s">
        <v>630</v>
      </c>
      <c r="C226" s="415">
        <v>1300</v>
      </c>
      <c r="D226" s="415" t="s">
        <v>290</v>
      </c>
    </row>
    <row r="227" spans="1:4" x14ac:dyDescent="0.25">
      <c r="A227" s="376">
        <v>3226</v>
      </c>
      <c r="B227" s="376" t="s">
        <v>629</v>
      </c>
      <c r="C227" s="415">
        <v>1300</v>
      </c>
      <c r="D227" s="415" t="s">
        <v>290</v>
      </c>
    </row>
    <row r="228" spans="1:4" x14ac:dyDescent="0.25">
      <c r="A228" s="376">
        <v>3227</v>
      </c>
      <c r="B228" s="376" t="s">
        <v>628</v>
      </c>
      <c r="C228" s="415">
        <v>1300</v>
      </c>
      <c r="D228" s="415" t="s">
        <v>290</v>
      </c>
    </row>
    <row r="229" spans="1:4" x14ac:dyDescent="0.25">
      <c r="A229" s="376">
        <v>3228</v>
      </c>
      <c r="B229" s="376" t="s">
        <v>627</v>
      </c>
      <c r="C229" s="415">
        <v>150</v>
      </c>
      <c r="D229" s="415" t="s">
        <v>290</v>
      </c>
    </row>
    <row r="230" spans="1:4" x14ac:dyDescent="0.25">
      <c r="A230" s="376">
        <v>3229</v>
      </c>
      <c r="B230" s="376" t="s">
        <v>626</v>
      </c>
      <c r="C230" s="415">
        <v>35</v>
      </c>
      <c r="D230" s="415" t="s">
        <v>290</v>
      </c>
    </row>
    <row r="231" spans="1:4" x14ac:dyDescent="0.25">
      <c r="A231" s="376">
        <v>3230</v>
      </c>
      <c r="B231" s="376" t="s">
        <v>625</v>
      </c>
      <c r="C231" s="415">
        <v>150</v>
      </c>
      <c r="D231" s="415" t="s">
        <v>290</v>
      </c>
    </row>
    <row r="232" spans="1:4" x14ac:dyDescent="0.25">
      <c r="A232" s="376">
        <v>3231</v>
      </c>
      <c r="B232" s="376" t="s">
        <v>624</v>
      </c>
      <c r="C232" s="415">
        <v>150</v>
      </c>
      <c r="D232" s="415" t="s">
        <v>290</v>
      </c>
    </row>
    <row r="233" spans="1:4" x14ac:dyDescent="0.25">
      <c r="A233" s="376">
        <v>3232</v>
      </c>
      <c r="B233" s="376" t="s">
        <v>623</v>
      </c>
      <c r="C233" s="415">
        <v>150</v>
      </c>
      <c r="D233" s="415" t="s">
        <v>290</v>
      </c>
    </row>
    <row r="234" spans="1:4" x14ac:dyDescent="0.25">
      <c r="A234" s="376">
        <v>3233</v>
      </c>
      <c r="B234" s="376" t="s">
        <v>622</v>
      </c>
      <c r="C234" s="415">
        <v>150</v>
      </c>
      <c r="D234" s="415" t="s">
        <v>290</v>
      </c>
    </row>
    <row r="235" spans="1:4" x14ac:dyDescent="0.25">
      <c r="A235" s="376">
        <v>3234</v>
      </c>
      <c r="B235" s="376" t="s">
        <v>621</v>
      </c>
      <c r="C235" s="415">
        <v>150</v>
      </c>
      <c r="D235" s="415" t="s">
        <v>290</v>
      </c>
    </row>
    <row r="236" spans="1:4" x14ac:dyDescent="0.25">
      <c r="A236" s="376">
        <v>3235</v>
      </c>
      <c r="B236" s="376" t="s">
        <v>620</v>
      </c>
      <c r="C236" s="415">
        <v>150</v>
      </c>
      <c r="D236" s="415" t="s">
        <v>290</v>
      </c>
    </row>
    <row r="237" spans="1:4" x14ac:dyDescent="0.25">
      <c r="A237" s="376">
        <v>3236</v>
      </c>
      <c r="B237" s="376" t="s">
        <v>619</v>
      </c>
      <c r="C237" s="415">
        <v>150</v>
      </c>
      <c r="D237" s="415" t="s">
        <v>290</v>
      </c>
    </row>
    <row r="238" spans="1:4" x14ac:dyDescent="0.25">
      <c r="A238" s="376">
        <v>3237</v>
      </c>
      <c r="B238" s="376" t="s">
        <v>618</v>
      </c>
      <c r="C238" s="415">
        <v>150</v>
      </c>
      <c r="D238" s="415" t="s">
        <v>290</v>
      </c>
    </row>
    <row r="239" spans="1:4" x14ac:dyDescent="0.25">
      <c r="A239" s="376">
        <v>3238</v>
      </c>
      <c r="B239" s="376" t="s">
        <v>617</v>
      </c>
      <c r="C239" s="415">
        <v>150</v>
      </c>
      <c r="D239" s="415" t="s">
        <v>290</v>
      </c>
    </row>
    <row r="240" spans="1:4" x14ac:dyDescent="0.25">
      <c r="A240" s="376">
        <v>3239</v>
      </c>
      <c r="B240" s="376" t="s">
        <v>616</v>
      </c>
      <c r="C240" s="415">
        <v>150</v>
      </c>
      <c r="D240" s="415" t="s">
        <v>290</v>
      </c>
    </row>
    <row r="241" spans="1:4" x14ac:dyDescent="0.25">
      <c r="A241" s="376">
        <v>3240</v>
      </c>
      <c r="B241" s="376" t="s">
        <v>615</v>
      </c>
      <c r="C241" s="415">
        <v>150</v>
      </c>
      <c r="D241" s="415" t="s">
        <v>290</v>
      </c>
    </row>
    <row r="242" spans="1:4" x14ac:dyDescent="0.25">
      <c r="A242" s="376">
        <v>3241</v>
      </c>
      <c r="B242" s="376" t="s">
        <v>614</v>
      </c>
      <c r="C242" s="415">
        <v>150</v>
      </c>
      <c r="D242" s="415" t="s">
        <v>290</v>
      </c>
    </row>
    <row r="243" spans="1:4" x14ac:dyDescent="0.25">
      <c r="A243" s="376">
        <v>3242</v>
      </c>
      <c r="B243" s="376" t="s">
        <v>613</v>
      </c>
      <c r="C243" s="415">
        <v>150</v>
      </c>
      <c r="D243" s="415" t="s">
        <v>290</v>
      </c>
    </row>
    <row r="244" spans="1:4" x14ac:dyDescent="0.25">
      <c r="A244" s="376">
        <v>3243</v>
      </c>
      <c r="B244" s="376" t="s">
        <v>612</v>
      </c>
      <c r="C244" s="415">
        <v>150</v>
      </c>
      <c r="D244" s="415" t="s">
        <v>290</v>
      </c>
    </row>
    <row r="245" spans="1:4" x14ac:dyDescent="0.25">
      <c r="A245" s="376">
        <v>3244</v>
      </c>
      <c r="B245" s="376" t="s">
        <v>611</v>
      </c>
      <c r="C245" s="415">
        <v>150</v>
      </c>
      <c r="D245" s="415" t="s">
        <v>290</v>
      </c>
    </row>
    <row r="246" spans="1:4" x14ac:dyDescent="0.25">
      <c r="A246" s="376">
        <v>3245</v>
      </c>
      <c r="B246" s="376" t="s">
        <v>610</v>
      </c>
      <c r="C246" s="415">
        <v>150</v>
      </c>
      <c r="D246" s="415" t="s">
        <v>290</v>
      </c>
    </row>
    <row r="247" spans="1:4" x14ac:dyDescent="0.25">
      <c r="A247" s="376">
        <v>3246</v>
      </c>
      <c r="B247" s="376" t="s">
        <v>609</v>
      </c>
      <c r="C247" s="415">
        <v>150</v>
      </c>
      <c r="D247" s="415" t="s">
        <v>290</v>
      </c>
    </row>
    <row r="248" spans="1:4" x14ac:dyDescent="0.25">
      <c r="A248" s="376">
        <v>3247</v>
      </c>
      <c r="B248" s="376" t="s">
        <v>608</v>
      </c>
      <c r="C248" s="415">
        <v>150</v>
      </c>
      <c r="D248" s="415" t="s">
        <v>290</v>
      </c>
    </row>
    <row r="249" spans="1:4" x14ac:dyDescent="0.25">
      <c r="A249" s="376">
        <v>3248</v>
      </c>
      <c r="B249" s="376" t="s">
        <v>607</v>
      </c>
      <c r="C249" s="415">
        <v>150</v>
      </c>
      <c r="D249" s="415" t="s">
        <v>290</v>
      </c>
    </row>
    <row r="250" spans="1:4" ht="15.75" thickBot="1" x14ac:dyDescent="0.3">
      <c r="A250" s="376">
        <v>3249</v>
      </c>
      <c r="B250" s="376" t="s">
        <v>606</v>
      </c>
      <c r="C250" s="415">
        <v>150</v>
      </c>
      <c r="D250" s="415" t="s">
        <v>290</v>
      </c>
    </row>
    <row r="251" spans="1:4" ht="15.75" thickBot="1" x14ac:dyDescent="0.3">
      <c r="A251" s="376">
        <v>3250</v>
      </c>
      <c r="B251" s="435" t="s">
        <v>1159</v>
      </c>
      <c r="C251" s="415">
        <v>1500</v>
      </c>
      <c r="D251" s="415" t="s">
        <v>1136</v>
      </c>
    </row>
    <row r="252" spans="1:4" ht="15.75" thickBot="1" x14ac:dyDescent="0.3">
      <c r="A252" s="376">
        <v>3251</v>
      </c>
      <c r="B252" s="436" t="s">
        <v>1160</v>
      </c>
      <c r="C252" s="415">
        <v>1500</v>
      </c>
      <c r="D252" s="415" t="s">
        <v>1136</v>
      </c>
    </row>
    <row r="253" spans="1:4" ht="15.75" thickBot="1" x14ac:dyDescent="0.3">
      <c r="A253" s="376">
        <v>3252</v>
      </c>
      <c r="B253" s="436" t="s">
        <v>1161</v>
      </c>
      <c r="C253" s="415">
        <v>1500</v>
      </c>
      <c r="D253" s="415" t="s">
        <v>1136</v>
      </c>
    </row>
    <row r="254" spans="1:4" ht="15.75" thickBot="1" x14ac:dyDescent="0.3">
      <c r="A254" s="376">
        <v>3253</v>
      </c>
      <c r="B254" s="436" t="s">
        <v>1162</v>
      </c>
      <c r="C254" s="415">
        <v>1300</v>
      </c>
      <c r="D254" s="415" t="s">
        <v>1136</v>
      </c>
    </row>
    <row r="255" spans="1:4" ht="15.75" thickBot="1" x14ac:dyDescent="0.3">
      <c r="A255" s="376">
        <v>3254</v>
      </c>
      <c r="B255" s="436" t="s">
        <v>1163</v>
      </c>
      <c r="C255" s="415">
        <v>1150</v>
      </c>
      <c r="D255" s="415" t="s">
        <v>1136</v>
      </c>
    </row>
    <row r="256" spans="1:4" ht="15.75" thickBot="1" x14ac:dyDescent="0.3">
      <c r="A256" s="376">
        <v>3255</v>
      </c>
      <c r="B256" s="436" t="s">
        <v>1164</v>
      </c>
      <c r="C256" s="415">
        <v>1250</v>
      </c>
      <c r="D256" s="415" t="s">
        <v>1136</v>
      </c>
    </row>
    <row r="257" spans="1:4" ht="15.75" thickBot="1" x14ac:dyDescent="0.3">
      <c r="A257" s="376">
        <v>3256</v>
      </c>
      <c r="B257" s="436" t="s">
        <v>1165</v>
      </c>
      <c r="C257" s="415">
        <v>1700</v>
      </c>
      <c r="D257" s="415" t="s">
        <v>1136</v>
      </c>
    </row>
    <row r="258" spans="1:4" ht="15.75" thickBot="1" x14ac:dyDescent="0.3">
      <c r="A258" s="376">
        <v>3257</v>
      </c>
      <c r="B258" s="436" t="s">
        <v>1166</v>
      </c>
      <c r="C258" s="415">
        <v>1350</v>
      </c>
      <c r="D258" s="415" t="s">
        <v>1136</v>
      </c>
    </row>
    <row r="259" spans="1:4" ht="15.75" thickBot="1" x14ac:dyDescent="0.3">
      <c r="A259" s="376">
        <v>3258</v>
      </c>
      <c r="B259" s="436" t="s">
        <v>1167</v>
      </c>
      <c r="C259" s="415">
        <v>1350</v>
      </c>
      <c r="D259" s="415" t="s">
        <v>1136</v>
      </c>
    </row>
    <row r="260" spans="1:4" ht="15.75" thickBot="1" x14ac:dyDescent="0.3">
      <c r="A260" s="376">
        <v>3259</v>
      </c>
      <c r="B260" s="436" t="s">
        <v>1168</v>
      </c>
      <c r="C260" s="415">
        <v>1350</v>
      </c>
      <c r="D260" s="415" t="s">
        <v>1136</v>
      </c>
    </row>
    <row r="261" spans="1:4" ht="15.75" thickBot="1" x14ac:dyDescent="0.3">
      <c r="A261" s="376">
        <v>3260</v>
      </c>
      <c r="B261" s="436" t="s">
        <v>1169</v>
      </c>
      <c r="C261" s="415">
        <v>1350</v>
      </c>
      <c r="D261" s="415" t="s">
        <v>1136</v>
      </c>
    </row>
    <row r="262" spans="1:4" ht="15.75" thickBot="1" x14ac:dyDescent="0.3">
      <c r="A262" s="376">
        <v>3261</v>
      </c>
      <c r="B262" s="436" t="s">
        <v>1170</v>
      </c>
      <c r="C262" s="415">
        <v>1350</v>
      </c>
      <c r="D262" s="415" t="s">
        <v>1136</v>
      </c>
    </row>
    <row r="263" spans="1:4" ht="15.75" thickBot="1" x14ac:dyDescent="0.3">
      <c r="A263" s="376">
        <v>3262</v>
      </c>
      <c r="B263" s="436" t="s">
        <v>1171</v>
      </c>
      <c r="C263" s="415">
        <v>1350</v>
      </c>
      <c r="D263" s="415" t="s">
        <v>1136</v>
      </c>
    </row>
    <row r="264" spans="1:4" ht="15.75" thickBot="1" x14ac:dyDescent="0.3">
      <c r="A264" s="376">
        <v>3263</v>
      </c>
      <c r="B264" s="436" t="s">
        <v>1172</v>
      </c>
      <c r="C264" s="415">
        <v>1350</v>
      </c>
      <c r="D264" s="415" t="s">
        <v>1136</v>
      </c>
    </row>
    <row r="265" spans="1:4" ht="15.75" thickBot="1" x14ac:dyDescent="0.3">
      <c r="A265" s="376">
        <v>3264</v>
      </c>
      <c r="B265" s="436" t="s">
        <v>1173</v>
      </c>
      <c r="C265" s="415">
        <v>1350</v>
      </c>
      <c r="D265" s="415" t="s">
        <v>1136</v>
      </c>
    </row>
    <row r="266" spans="1:4" ht="15.75" thickBot="1" x14ac:dyDescent="0.3">
      <c r="A266" s="376">
        <v>3265</v>
      </c>
      <c r="B266" s="436" t="s">
        <v>1174</v>
      </c>
      <c r="C266" s="415">
        <v>1350</v>
      </c>
      <c r="D266" s="415" t="s">
        <v>1136</v>
      </c>
    </row>
    <row r="267" spans="1:4" ht="15.75" thickBot="1" x14ac:dyDescent="0.3">
      <c r="A267" s="376">
        <v>3266</v>
      </c>
      <c r="B267" s="436" t="s">
        <v>1175</v>
      </c>
      <c r="C267" s="415">
        <v>1350</v>
      </c>
      <c r="D267" s="415" t="s">
        <v>1136</v>
      </c>
    </row>
    <row r="268" spans="1:4" ht="15.75" thickBot="1" x14ac:dyDescent="0.3">
      <c r="A268" s="376">
        <v>3267</v>
      </c>
      <c r="B268" s="436" t="s">
        <v>1176</v>
      </c>
      <c r="C268" s="415">
        <v>4600</v>
      </c>
      <c r="D268" s="415" t="s">
        <v>1136</v>
      </c>
    </row>
    <row r="269" spans="1:4" ht="15.75" thickBot="1" x14ac:dyDescent="0.3">
      <c r="A269" s="376">
        <v>3268</v>
      </c>
      <c r="B269" s="436" t="s">
        <v>1177</v>
      </c>
      <c r="C269" s="415">
        <v>4600</v>
      </c>
      <c r="D269" s="415" t="s">
        <v>1136</v>
      </c>
    </row>
    <row r="270" spans="1:4" ht="15.75" thickBot="1" x14ac:dyDescent="0.3">
      <c r="A270" s="376">
        <v>3269</v>
      </c>
      <c r="B270" s="436" t="s">
        <v>1178</v>
      </c>
      <c r="C270" s="415">
        <v>4600</v>
      </c>
      <c r="D270" s="415" t="s">
        <v>1136</v>
      </c>
    </row>
    <row r="271" spans="1:4" ht="15.75" thickBot="1" x14ac:dyDescent="0.3">
      <c r="A271" s="376">
        <v>3270</v>
      </c>
      <c r="B271" s="436" t="s">
        <v>1179</v>
      </c>
      <c r="C271" s="415">
        <v>4600</v>
      </c>
      <c r="D271" s="415" t="s">
        <v>1136</v>
      </c>
    </row>
    <row r="272" spans="1:4" ht="15.75" thickBot="1" x14ac:dyDescent="0.3">
      <c r="A272" s="376">
        <v>3271</v>
      </c>
      <c r="B272" s="436" t="s">
        <v>1180</v>
      </c>
      <c r="C272" s="415">
        <v>4600</v>
      </c>
      <c r="D272" s="415" t="s">
        <v>1136</v>
      </c>
    </row>
    <row r="273" spans="1:4" ht="15.75" thickBot="1" x14ac:dyDescent="0.3">
      <c r="A273" s="376">
        <v>3272</v>
      </c>
      <c r="B273" s="436" t="s">
        <v>1181</v>
      </c>
      <c r="C273" s="415">
        <v>4600</v>
      </c>
      <c r="D273" s="415" t="s">
        <v>1136</v>
      </c>
    </row>
    <row r="274" spans="1:4" ht="15.75" thickBot="1" x14ac:dyDescent="0.3">
      <c r="A274" s="376">
        <v>3273</v>
      </c>
      <c r="B274" s="436" t="s">
        <v>1182</v>
      </c>
      <c r="C274" s="415">
        <v>4600</v>
      </c>
      <c r="D274" s="415" t="s">
        <v>1136</v>
      </c>
    </row>
    <row r="275" spans="1:4" ht="15.75" thickBot="1" x14ac:dyDescent="0.3">
      <c r="A275" s="376">
        <v>3274</v>
      </c>
      <c r="B275" s="436" t="s">
        <v>1183</v>
      </c>
      <c r="C275" s="415">
        <v>4600</v>
      </c>
      <c r="D275" s="415" t="s">
        <v>1136</v>
      </c>
    </row>
    <row r="276" spans="1:4" ht="15.75" thickBot="1" x14ac:dyDescent="0.3">
      <c r="A276" s="376">
        <v>3275</v>
      </c>
      <c r="B276" s="436" t="s">
        <v>1184</v>
      </c>
      <c r="C276" s="415">
        <v>4600</v>
      </c>
      <c r="D276" s="415" t="s">
        <v>1136</v>
      </c>
    </row>
    <row r="277" spans="1:4" ht="15.75" thickBot="1" x14ac:dyDescent="0.3">
      <c r="A277" s="376">
        <v>3276</v>
      </c>
      <c r="B277" s="436" t="s">
        <v>1185</v>
      </c>
      <c r="C277" s="415">
        <v>4600</v>
      </c>
      <c r="D277" s="415" t="s">
        <v>1136</v>
      </c>
    </row>
    <row r="278" spans="1:4" ht="15.75" thickBot="1" x14ac:dyDescent="0.3">
      <c r="A278" s="376">
        <v>3277</v>
      </c>
      <c r="B278" s="436" t="s">
        <v>1186</v>
      </c>
      <c r="C278" s="415">
        <v>4600</v>
      </c>
      <c r="D278" s="415" t="s">
        <v>1136</v>
      </c>
    </row>
    <row r="279" spans="1:4" ht="15.75" thickBot="1" x14ac:dyDescent="0.3">
      <c r="A279" s="376">
        <v>3278</v>
      </c>
      <c r="B279" s="436" t="s">
        <v>1187</v>
      </c>
      <c r="C279" s="415">
        <v>320</v>
      </c>
      <c r="D279" s="415" t="s">
        <v>1136</v>
      </c>
    </row>
    <row r="280" spans="1:4" ht="15.75" thickBot="1" x14ac:dyDescent="0.3">
      <c r="A280" s="376">
        <v>3279</v>
      </c>
      <c r="B280" s="436" t="s">
        <v>1188</v>
      </c>
      <c r="C280" s="415">
        <v>320</v>
      </c>
      <c r="D280" s="415" t="s">
        <v>1136</v>
      </c>
    </row>
    <row r="281" spans="1:4" ht="15.75" thickBot="1" x14ac:dyDescent="0.3">
      <c r="A281" s="376">
        <v>3280</v>
      </c>
      <c r="B281" s="436" t="s">
        <v>1189</v>
      </c>
      <c r="C281" s="415">
        <v>18000</v>
      </c>
      <c r="D281" s="415" t="s">
        <v>1136</v>
      </c>
    </row>
    <row r="282" spans="1:4" ht="15.75" thickBot="1" x14ac:dyDescent="0.3">
      <c r="A282" s="376">
        <v>3281</v>
      </c>
      <c r="B282" s="436" t="s">
        <v>1190</v>
      </c>
      <c r="C282" s="415">
        <v>320</v>
      </c>
      <c r="D282" s="415" t="s">
        <v>1136</v>
      </c>
    </row>
    <row r="283" spans="1:4" ht="15.75" thickBot="1" x14ac:dyDescent="0.3">
      <c r="A283" s="376">
        <v>3282</v>
      </c>
      <c r="B283" s="436" t="s">
        <v>1137</v>
      </c>
      <c r="C283" s="415">
        <v>5000</v>
      </c>
      <c r="D283" s="415" t="s">
        <v>1136</v>
      </c>
    </row>
    <row r="284" spans="1:4" x14ac:dyDescent="0.25">
      <c r="A284" s="376">
        <v>3283</v>
      </c>
      <c r="B284" s="377" t="s">
        <v>1193</v>
      </c>
      <c r="C284" s="415">
        <v>800</v>
      </c>
      <c r="D284" s="415" t="s">
        <v>1136</v>
      </c>
    </row>
    <row r="285" spans="1:4" ht="15.75" thickBot="1" x14ac:dyDescent="0.3">
      <c r="A285" s="376">
        <v>3284</v>
      </c>
      <c r="B285" s="438" t="s">
        <v>1191</v>
      </c>
      <c r="C285" s="424">
        <v>3100</v>
      </c>
      <c r="D285" s="424" t="s">
        <v>1136</v>
      </c>
    </row>
    <row r="286" spans="1:4" ht="15.75" thickBot="1" x14ac:dyDescent="0.3">
      <c r="A286" s="425"/>
      <c r="B286" s="439" t="s">
        <v>150</v>
      </c>
      <c r="C286" s="426">
        <f>SUM(C2:C285)</f>
        <v>1630843</v>
      </c>
      <c r="D286" s="427">
        <f>Tabla5[[#This Row],[VALOR]]/2</f>
        <v>815421.5</v>
      </c>
    </row>
    <row r="287" spans="1:4" x14ac:dyDescent="0.25">
      <c r="A287" s="288"/>
      <c r="B287" s="288"/>
      <c r="C287" s="289"/>
      <c r="D287" s="290"/>
    </row>
    <row r="288" spans="1:4" x14ac:dyDescent="0.25">
      <c r="A288" s="288"/>
      <c r="B288" s="288"/>
      <c r="C288" s="289"/>
      <c r="D288" s="290"/>
    </row>
    <row r="289" spans="1:4" x14ac:dyDescent="0.25">
      <c r="A289" s="288"/>
      <c r="B289" s="288"/>
      <c r="C289" s="289"/>
      <c r="D289" s="290"/>
    </row>
    <row r="290" spans="1:4" x14ac:dyDescent="0.25">
      <c r="A290" s="288"/>
      <c r="B290" s="288"/>
      <c r="C290" s="289"/>
      <c r="D290" s="290"/>
    </row>
    <row r="291" spans="1:4" x14ac:dyDescent="0.25">
      <c r="C291" s="272"/>
      <c r="D291" s="272">
        <f>+C291/2</f>
        <v>0</v>
      </c>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tabColor theme="7" tint="-0.249977111117893"/>
  </sheetPr>
  <dimension ref="A1:D208"/>
  <sheetViews>
    <sheetView topLeftCell="A207" zoomScale="115" zoomScaleNormal="115" workbookViewId="0">
      <selection activeCell="B219" sqref="B219"/>
    </sheetView>
  </sheetViews>
  <sheetFormatPr baseColWidth="10" defaultRowHeight="15" x14ac:dyDescent="0.25"/>
  <cols>
    <col min="1" max="1" width="10.140625" style="180" customWidth="1"/>
    <col min="2" max="2" width="54.140625" style="180" customWidth="1"/>
    <col min="3" max="3" width="15.85546875" style="185" customWidth="1"/>
    <col min="4" max="4" width="18" style="180" customWidth="1"/>
    <col min="5" max="16384" width="11.42578125" style="180"/>
  </cols>
  <sheetData>
    <row r="1" spans="1:4" s="183" customFormat="1" x14ac:dyDescent="0.25">
      <c r="A1" s="440" t="s">
        <v>284</v>
      </c>
      <c r="B1" s="440" t="s">
        <v>285</v>
      </c>
      <c r="C1" s="441" t="s">
        <v>1148</v>
      </c>
      <c r="D1" s="442" t="s">
        <v>398</v>
      </c>
    </row>
    <row r="2" spans="1:4" ht="14.25" customHeight="1" x14ac:dyDescent="0.25">
      <c r="A2" s="443">
        <v>2001</v>
      </c>
      <c r="B2" s="444" t="s">
        <v>399</v>
      </c>
      <c r="C2" s="445">
        <v>213440</v>
      </c>
      <c r="D2" s="443" t="s">
        <v>400</v>
      </c>
    </row>
    <row r="3" spans="1:4" ht="14.25" customHeight="1" x14ac:dyDescent="0.25">
      <c r="A3" s="443">
        <v>2002</v>
      </c>
      <c r="B3" s="444" t="s">
        <v>401</v>
      </c>
      <c r="C3" s="445">
        <v>157760</v>
      </c>
      <c r="D3" s="443" t="s">
        <v>400</v>
      </c>
    </row>
    <row r="4" spans="1:4" ht="14.25" customHeight="1" x14ac:dyDescent="0.25">
      <c r="A4" s="443">
        <v>2003</v>
      </c>
      <c r="B4" s="444" t="s">
        <v>402</v>
      </c>
      <c r="C4" s="445">
        <v>73080</v>
      </c>
      <c r="D4" s="443" t="s">
        <v>400</v>
      </c>
    </row>
    <row r="5" spans="1:4" ht="14.25" customHeight="1" x14ac:dyDescent="0.25">
      <c r="A5" s="443">
        <v>2004</v>
      </c>
      <c r="B5" s="444" t="s">
        <v>403</v>
      </c>
      <c r="C5" s="445">
        <v>107184</v>
      </c>
      <c r="D5" s="443" t="s">
        <v>400</v>
      </c>
    </row>
    <row r="6" spans="1:4" ht="14.25" customHeight="1" x14ac:dyDescent="0.25">
      <c r="A6" s="443">
        <v>2005</v>
      </c>
      <c r="B6" s="446" t="s">
        <v>404</v>
      </c>
      <c r="C6" s="445">
        <v>11600</v>
      </c>
      <c r="D6" s="443" t="s">
        <v>405</v>
      </c>
    </row>
    <row r="7" spans="1:4" ht="14.25" customHeight="1" x14ac:dyDescent="0.25">
      <c r="A7" s="443">
        <v>2006</v>
      </c>
      <c r="B7" s="446" t="s">
        <v>406</v>
      </c>
      <c r="C7" s="445">
        <v>2296</v>
      </c>
      <c r="D7" s="443" t="s">
        <v>405</v>
      </c>
    </row>
    <row r="8" spans="1:4" ht="14.25" customHeight="1" x14ac:dyDescent="0.25">
      <c r="A8" s="443">
        <v>2007</v>
      </c>
      <c r="B8" s="446" t="s">
        <v>407</v>
      </c>
      <c r="C8" s="445">
        <v>1200</v>
      </c>
      <c r="D8" s="443" t="s">
        <v>405</v>
      </c>
    </row>
    <row r="9" spans="1:4" ht="14.25" customHeight="1" x14ac:dyDescent="0.25">
      <c r="A9" s="443">
        <v>2008</v>
      </c>
      <c r="B9" s="446" t="s">
        <v>408</v>
      </c>
      <c r="C9" s="445">
        <v>5220</v>
      </c>
      <c r="D9" s="443" t="s">
        <v>405</v>
      </c>
    </row>
    <row r="10" spans="1:4" ht="14.25" customHeight="1" x14ac:dyDescent="0.25">
      <c r="A10" s="443">
        <v>2009</v>
      </c>
      <c r="B10" s="446" t="s">
        <v>409</v>
      </c>
      <c r="C10" s="445">
        <v>1350</v>
      </c>
      <c r="D10" s="443" t="s">
        <v>405</v>
      </c>
    </row>
    <row r="11" spans="1:4" ht="14.25" customHeight="1" x14ac:dyDescent="0.25">
      <c r="A11" s="443">
        <v>2010</v>
      </c>
      <c r="B11" s="444" t="s">
        <v>410</v>
      </c>
      <c r="C11" s="445">
        <v>547520</v>
      </c>
      <c r="D11" s="443" t="s">
        <v>400</v>
      </c>
    </row>
    <row r="12" spans="1:4" ht="14.25" customHeight="1" x14ac:dyDescent="0.25">
      <c r="A12" s="443">
        <v>2011</v>
      </c>
      <c r="B12" s="444" t="s">
        <v>411</v>
      </c>
      <c r="C12" s="445">
        <v>348000</v>
      </c>
      <c r="D12" s="443" t="s">
        <v>400</v>
      </c>
    </row>
    <row r="13" spans="1:4" ht="14.25" customHeight="1" x14ac:dyDescent="0.25">
      <c r="A13" s="443">
        <v>2012</v>
      </c>
      <c r="B13" s="444" t="s">
        <v>412</v>
      </c>
      <c r="C13" s="447">
        <v>12000</v>
      </c>
      <c r="D13" s="443" t="s">
        <v>405</v>
      </c>
    </row>
    <row r="14" spans="1:4" ht="14.25" customHeight="1" x14ac:dyDescent="0.25">
      <c r="A14" s="443">
        <v>2013</v>
      </c>
      <c r="B14" s="448" t="s">
        <v>413</v>
      </c>
      <c r="C14" s="445">
        <v>201116</v>
      </c>
      <c r="D14" s="443" t="s">
        <v>400</v>
      </c>
    </row>
    <row r="15" spans="1:4" ht="14.25" customHeight="1" x14ac:dyDescent="0.25">
      <c r="A15" s="443">
        <v>2014</v>
      </c>
      <c r="B15" s="444" t="s">
        <v>414</v>
      </c>
      <c r="C15" s="445">
        <v>50279</v>
      </c>
      <c r="D15" s="443" t="s">
        <v>400</v>
      </c>
    </row>
    <row r="16" spans="1:4" ht="14.25" customHeight="1" x14ac:dyDescent="0.25">
      <c r="A16" s="443">
        <v>2015</v>
      </c>
      <c r="B16" s="444" t="s">
        <v>415</v>
      </c>
      <c r="C16" s="445">
        <v>12695</v>
      </c>
      <c r="D16" s="443" t="s">
        <v>400</v>
      </c>
    </row>
    <row r="17" spans="1:4" ht="14.25" customHeight="1" x14ac:dyDescent="0.25">
      <c r="A17" s="443">
        <v>2016</v>
      </c>
      <c r="B17" s="444" t="s">
        <v>416</v>
      </c>
      <c r="C17" s="445">
        <v>1365900</v>
      </c>
      <c r="D17" s="443" t="s">
        <v>400</v>
      </c>
    </row>
    <row r="18" spans="1:4" ht="14.25" customHeight="1" x14ac:dyDescent="0.25">
      <c r="A18" s="443">
        <v>2017</v>
      </c>
      <c r="B18" s="444" t="s">
        <v>417</v>
      </c>
      <c r="C18" s="445">
        <v>992960</v>
      </c>
      <c r="D18" s="443" t="s">
        <v>400</v>
      </c>
    </row>
    <row r="19" spans="1:4" ht="14.25" customHeight="1" x14ac:dyDescent="0.25">
      <c r="A19" s="443">
        <v>2018</v>
      </c>
      <c r="B19" s="444" t="s">
        <v>418</v>
      </c>
      <c r="C19" s="445">
        <v>120087</v>
      </c>
      <c r="D19" s="443" t="s">
        <v>400</v>
      </c>
    </row>
    <row r="20" spans="1:4" ht="14.25" customHeight="1" x14ac:dyDescent="0.25">
      <c r="A20" s="443">
        <v>2019</v>
      </c>
      <c r="B20" s="444" t="s">
        <v>419</v>
      </c>
      <c r="C20" s="445">
        <v>29493</v>
      </c>
      <c r="D20" s="443" t="s">
        <v>400</v>
      </c>
    </row>
    <row r="21" spans="1:4" ht="14.25" customHeight="1" x14ac:dyDescent="0.25">
      <c r="A21" s="443">
        <v>2020</v>
      </c>
      <c r="B21" s="444" t="s">
        <v>420</v>
      </c>
      <c r="C21" s="445">
        <v>7830</v>
      </c>
      <c r="D21" s="443" t="s">
        <v>400</v>
      </c>
    </row>
    <row r="22" spans="1:4" ht="14.25" customHeight="1" x14ac:dyDescent="0.25">
      <c r="A22" s="443">
        <v>2021</v>
      </c>
      <c r="B22" s="446" t="s">
        <v>421</v>
      </c>
      <c r="C22" s="445">
        <v>23200</v>
      </c>
      <c r="D22" s="443" t="s">
        <v>400</v>
      </c>
    </row>
    <row r="23" spans="1:4" ht="14.25" customHeight="1" x14ac:dyDescent="0.25">
      <c r="A23" s="443">
        <v>2022</v>
      </c>
      <c r="B23" s="444" t="s">
        <v>422</v>
      </c>
      <c r="C23" s="445">
        <v>109040</v>
      </c>
      <c r="D23" s="443" t="s">
        <v>400</v>
      </c>
    </row>
    <row r="24" spans="1:4" ht="14.25" customHeight="1" x14ac:dyDescent="0.25">
      <c r="A24" s="443">
        <v>2023</v>
      </c>
      <c r="B24" s="444" t="s">
        <v>423</v>
      </c>
      <c r="C24" s="445">
        <v>161820</v>
      </c>
      <c r="D24" s="443" t="s">
        <v>400</v>
      </c>
    </row>
    <row r="25" spans="1:4" ht="14.25" customHeight="1" x14ac:dyDescent="0.25">
      <c r="A25" s="443">
        <v>2024</v>
      </c>
      <c r="B25" s="444" t="s">
        <v>424</v>
      </c>
      <c r="C25" s="445">
        <v>56400</v>
      </c>
      <c r="D25" s="443" t="s">
        <v>400</v>
      </c>
    </row>
    <row r="26" spans="1:4" ht="14.25" customHeight="1" x14ac:dyDescent="0.25">
      <c r="A26" s="443">
        <v>2025</v>
      </c>
      <c r="B26" s="444" t="s">
        <v>425</v>
      </c>
      <c r="C26" s="445">
        <v>100300</v>
      </c>
      <c r="D26" s="443" t="s">
        <v>400</v>
      </c>
    </row>
    <row r="27" spans="1:4" ht="14.25" customHeight="1" x14ac:dyDescent="0.25">
      <c r="A27" s="443">
        <v>2026</v>
      </c>
      <c r="B27" s="449" t="s">
        <v>426</v>
      </c>
      <c r="C27" s="445">
        <v>105652.79999999999</v>
      </c>
      <c r="D27" s="443" t="s">
        <v>400</v>
      </c>
    </row>
    <row r="28" spans="1:4" ht="14.25" customHeight="1" x14ac:dyDescent="0.25">
      <c r="A28" s="443">
        <v>2027</v>
      </c>
      <c r="B28" s="449" t="s">
        <v>427</v>
      </c>
      <c r="C28" s="445">
        <v>191400</v>
      </c>
      <c r="D28" s="443" t="s">
        <v>400</v>
      </c>
    </row>
    <row r="29" spans="1:4" ht="14.25" customHeight="1" x14ac:dyDescent="0.25">
      <c r="A29" s="443">
        <v>2028</v>
      </c>
      <c r="B29" s="443" t="s">
        <v>428</v>
      </c>
      <c r="C29" s="445">
        <v>5104</v>
      </c>
      <c r="D29" s="443" t="s">
        <v>405</v>
      </c>
    </row>
    <row r="30" spans="1:4" ht="14.25" customHeight="1" x14ac:dyDescent="0.25">
      <c r="A30" s="443">
        <v>2029</v>
      </c>
      <c r="B30" s="446" t="s">
        <v>429</v>
      </c>
      <c r="C30" s="445">
        <v>4872</v>
      </c>
      <c r="D30" s="443" t="s">
        <v>405</v>
      </c>
    </row>
    <row r="31" spans="1:4" ht="14.25" customHeight="1" x14ac:dyDescent="0.25">
      <c r="A31" s="443">
        <v>2030</v>
      </c>
      <c r="B31" s="446" t="s">
        <v>430</v>
      </c>
      <c r="C31" s="445">
        <v>10034</v>
      </c>
      <c r="D31" s="443" t="s">
        <v>405</v>
      </c>
    </row>
    <row r="32" spans="1:4" ht="14.25" customHeight="1" x14ac:dyDescent="0.25">
      <c r="A32" s="443">
        <v>2031</v>
      </c>
      <c r="B32" s="446" t="s">
        <v>431</v>
      </c>
      <c r="C32" s="445">
        <v>9744</v>
      </c>
      <c r="D32" s="443" t="s">
        <v>405</v>
      </c>
    </row>
    <row r="33" spans="1:4" ht="14.25" customHeight="1" x14ac:dyDescent="0.25">
      <c r="A33" s="443">
        <v>2032</v>
      </c>
      <c r="B33" s="446" t="s">
        <v>432</v>
      </c>
      <c r="C33" s="445">
        <v>10450</v>
      </c>
      <c r="D33" s="443" t="s">
        <v>405</v>
      </c>
    </row>
    <row r="34" spans="1:4" ht="14.25" customHeight="1" x14ac:dyDescent="0.25">
      <c r="A34" s="443">
        <v>2033</v>
      </c>
      <c r="B34" s="446" t="s">
        <v>433</v>
      </c>
      <c r="C34" s="445">
        <v>8500</v>
      </c>
      <c r="D34" s="443" t="s">
        <v>405</v>
      </c>
    </row>
    <row r="35" spans="1:4" ht="14.25" customHeight="1" x14ac:dyDescent="0.25">
      <c r="A35" s="443">
        <v>2034</v>
      </c>
      <c r="B35" s="446" t="s">
        <v>434</v>
      </c>
      <c r="C35" s="445">
        <v>2088</v>
      </c>
      <c r="D35" s="443" t="s">
        <v>405</v>
      </c>
    </row>
    <row r="36" spans="1:4" ht="14.25" customHeight="1" x14ac:dyDescent="0.25">
      <c r="A36" s="443">
        <v>2035</v>
      </c>
      <c r="B36" s="446" t="s">
        <v>435</v>
      </c>
      <c r="C36" s="445">
        <v>1450</v>
      </c>
      <c r="D36" s="443" t="s">
        <v>405</v>
      </c>
    </row>
    <row r="37" spans="1:4" ht="14.25" customHeight="1" x14ac:dyDescent="0.25">
      <c r="A37" s="443">
        <v>2036</v>
      </c>
      <c r="B37" s="446" t="s">
        <v>436</v>
      </c>
      <c r="C37" s="445">
        <v>4930</v>
      </c>
      <c r="D37" s="443" t="s">
        <v>405</v>
      </c>
    </row>
    <row r="38" spans="1:4" ht="14.25" customHeight="1" x14ac:dyDescent="0.25">
      <c r="A38" s="443">
        <v>2037</v>
      </c>
      <c r="B38" s="446" t="s">
        <v>437</v>
      </c>
      <c r="C38" s="445">
        <v>1844.4</v>
      </c>
      <c r="D38" s="443" t="s">
        <v>405</v>
      </c>
    </row>
    <row r="39" spans="1:4" ht="14.25" customHeight="1" x14ac:dyDescent="0.25">
      <c r="A39" s="443">
        <v>2038</v>
      </c>
      <c r="B39" s="446" t="s">
        <v>438</v>
      </c>
      <c r="C39" s="445">
        <v>2204</v>
      </c>
      <c r="D39" s="443" t="s">
        <v>405</v>
      </c>
    </row>
    <row r="40" spans="1:4" ht="14.25" customHeight="1" x14ac:dyDescent="0.25">
      <c r="A40" s="443">
        <v>2039</v>
      </c>
      <c r="B40" s="446" t="s">
        <v>439</v>
      </c>
      <c r="C40" s="445">
        <v>6890.4</v>
      </c>
      <c r="D40" s="443" t="s">
        <v>405</v>
      </c>
    </row>
    <row r="41" spans="1:4" ht="14.25" customHeight="1" x14ac:dyDescent="0.25">
      <c r="A41" s="443">
        <v>2040</v>
      </c>
      <c r="B41" s="446" t="s">
        <v>440</v>
      </c>
      <c r="C41" s="445">
        <v>6150</v>
      </c>
      <c r="D41" s="443" t="s">
        <v>405</v>
      </c>
    </row>
    <row r="42" spans="1:4" ht="14.25" customHeight="1" x14ac:dyDescent="0.25">
      <c r="A42" s="443">
        <v>2041</v>
      </c>
      <c r="B42" s="446" t="s">
        <v>441</v>
      </c>
      <c r="C42" s="445">
        <v>2349</v>
      </c>
      <c r="D42" s="443" t="s">
        <v>405</v>
      </c>
    </row>
    <row r="43" spans="1:4" ht="14.25" customHeight="1" x14ac:dyDescent="0.25">
      <c r="A43" s="443">
        <v>2042</v>
      </c>
      <c r="B43" s="446" t="s">
        <v>442</v>
      </c>
      <c r="C43" s="445">
        <v>3393</v>
      </c>
      <c r="D43" s="443" t="s">
        <v>405</v>
      </c>
    </row>
    <row r="44" spans="1:4" ht="14.25" customHeight="1" x14ac:dyDescent="0.25">
      <c r="A44" s="443">
        <v>2043</v>
      </c>
      <c r="B44" s="446" t="s">
        <v>443</v>
      </c>
      <c r="C44" s="445">
        <v>5551</v>
      </c>
      <c r="D44" s="443" t="s">
        <v>405</v>
      </c>
    </row>
    <row r="45" spans="1:4" ht="14.25" customHeight="1" x14ac:dyDescent="0.25">
      <c r="A45" s="443">
        <v>2044</v>
      </c>
      <c r="B45" s="446" t="s">
        <v>444</v>
      </c>
      <c r="C45" s="445">
        <v>7000</v>
      </c>
      <c r="D45" s="443" t="s">
        <v>405</v>
      </c>
    </row>
    <row r="46" spans="1:4" ht="14.25" customHeight="1" x14ac:dyDescent="0.25">
      <c r="A46" s="443">
        <v>2045</v>
      </c>
      <c r="B46" s="446" t="s">
        <v>445</v>
      </c>
      <c r="C46" s="445">
        <v>7000</v>
      </c>
      <c r="D46" s="443" t="s">
        <v>405</v>
      </c>
    </row>
    <row r="47" spans="1:4" ht="14.25" customHeight="1" x14ac:dyDescent="0.25">
      <c r="A47" s="443">
        <v>2046</v>
      </c>
      <c r="B47" s="446" t="s">
        <v>446</v>
      </c>
      <c r="C47" s="445">
        <v>7000</v>
      </c>
      <c r="D47" s="443" t="s">
        <v>405</v>
      </c>
    </row>
    <row r="48" spans="1:4" ht="14.25" customHeight="1" x14ac:dyDescent="0.25">
      <c r="A48" s="443">
        <v>2047</v>
      </c>
      <c r="B48" s="446" t="s">
        <v>447</v>
      </c>
      <c r="C48" s="445">
        <v>7000</v>
      </c>
      <c r="D48" s="443" t="s">
        <v>405</v>
      </c>
    </row>
    <row r="49" spans="1:4" ht="14.25" customHeight="1" x14ac:dyDescent="0.25">
      <c r="A49" s="443">
        <v>2048</v>
      </c>
      <c r="B49" s="446" t="s">
        <v>448</v>
      </c>
      <c r="C49" s="445">
        <v>7000</v>
      </c>
      <c r="D49" s="443" t="s">
        <v>405</v>
      </c>
    </row>
    <row r="50" spans="1:4" ht="14.25" customHeight="1" x14ac:dyDescent="0.25">
      <c r="A50" s="443">
        <v>2049</v>
      </c>
      <c r="B50" s="446" t="s">
        <v>449</v>
      </c>
      <c r="C50" s="445">
        <v>7000</v>
      </c>
      <c r="D50" s="443" t="s">
        <v>405</v>
      </c>
    </row>
    <row r="51" spans="1:4" ht="14.25" customHeight="1" x14ac:dyDescent="0.25">
      <c r="A51" s="443">
        <v>2050</v>
      </c>
      <c r="B51" s="446" t="s">
        <v>450</v>
      </c>
      <c r="C51" s="445">
        <v>7000</v>
      </c>
      <c r="D51" s="443" t="s">
        <v>405</v>
      </c>
    </row>
    <row r="52" spans="1:4" ht="14.25" customHeight="1" x14ac:dyDescent="0.25">
      <c r="A52" s="443">
        <v>2051</v>
      </c>
      <c r="B52" s="446" t="s">
        <v>451</v>
      </c>
      <c r="C52" s="445">
        <v>7000</v>
      </c>
      <c r="D52" s="443" t="s">
        <v>405</v>
      </c>
    </row>
    <row r="53" spans="1:4" ht="14.25" customHeight="1" x14ac:dyDescent="0.25">
      <c r="A53" s="443">
        <v>2052</v>
      </c>
      <c r="B53" s="446" t="s">
        <v>452</v>
      </c>
      <c r="C53" s="445">
        <v>15080</v>
      </c>
      <c r="D53" s="443" t="s">
        <v>405</v>
      </c>
    </row>
    <row r="54" spans="1:4" ht="14.25" customHeight="1" x14ac:dyDescent="0.25">
      <c r="A54" s="443">
        <v>2053</v>
      </c>
      <c r="B54" s="446" t="s">
        <v>453</v>
      </c>
      <c r="C54" s="445">
        <v>34800</v>
      </c>
      <c r="D54" s="443" t="s">
        <v>405</v>
      </c>
    </row>
    <row r="55" spans="1:4" ht="14.25" customHeight="1" x14ac:dyDescent="0.25">
      <c r="A55" s="443">
        <v>2054</v>
      </c>
      <c r="B55" s="446" t="s">
        <v>454</v>
      </c>
      <c r="C55" s="445">
        <v>11948</v>
      </c>
      <c r="D55" s="443" t="s">
        <v>405</v>
      </c>
    </row>
    <row r="56" spans="1:4" ht="14.25" customHeight="1" x14ac:dyDescent="0.25">
      <c r="A56" s="443">
        <v>2055</v>
      </c>
      <c r="B56" s="446" t="s">
        <v>455</v>
      </c>
      <c r="C56" s="445">
        <v>8932</v>
      </c>
      <c r="D56" s="443" t="s">
        <v>405</v>
      </c>
    </row>
    <row r="57" spans="1:4" ht="14.25" customHeight="1" x14ac:dyDescent="0.25">
      <c r="A57" s="443">
        <v>2056</v>
      </c>
      <c r="B57" s="446" t="s">
        <v>456</v>
      </c>
      <c r="C57" s="445">
        <v>9280</v>
      </c>
      <c r="D57" s="443" t="s">
        <v>405</v>
      </c>
    </row>
    <row r="58" spans="1:4" ht="14.25" customHeight="1" x14ac:dyDescent="0.25">
      <c r="A58" s="443">
        <v>2057</v>
      </c>
      <c r="B58" s="446" t="s">
        <v>457</v>
      </c>
      <c r="C58" s="445">
        <v>8120</v>
      </c>
      <c r="D58" s="443" t="s">
        <v>405</v>
      </c>
    </row>
    <row r="59" spans="1:4" ht="14.25" customHeight="1" x14ac:dyDescent="0.25">
      <c r="A59" s="443">
        <v>2058</v>
      </c>
      <c r="B59" s="446" t="s">
        <v>458</v>
      </c>
      <c r="C59" s="445">
        <v>15660</v>
      </c>
      <c r="D59" s="443" t="s">
        <v>405</v>
      </c>
    </row>
    <row r="60" spans="1:4" ht="14.25" customHeight="1" x14ac:dyDescent="0.25">
      <c r="A60" s="443">
        <v>2059</v>
      </c>
      <c r="B60" s="446" t="s">
        <v>459</v>
      </c>
      <c r="C60" s="445">
        <v>1429</v>
      </c>
      <c r="D60" s="443" t="s">
        <v>405</v>
      </c>
    </row>
    <row r="61" spans="1:4" ht="14.25" customHeight="1" x14ac:dyDescent="0.25">
      <c r="A61" s="443">
        <v>2060</v>
      </c>
      <c r="B61" s="446" t="s">
        <v>460</v>
      </c>
      <c r="C61" s="445">
        <v>1126</v>
      </c>
      <c r="D61" s="443" t="s">
        <v>405</v>
      </c>
    </row>
    <row r="62" spans="1:4" ht="14.25" customHeight="1" x14ac:dyDescent="0.25">
      <c r="A62" s="443">
        <v>2061</v>
      </c>
      <c r="B62" s="446" t="s">
        <v>461</v>
      </c>
      <c r="C62" s="445">
        <v>2320</v>
      </c>
      <c r="D62" s="443" t="s">
        <v>405</v>
      </c>
    </row>
    <row r="63" spans="1:4" ht="14.25" customHeight="1" x14ac:dyDescent="0.25">
      <c r="A63" s="443">
        <v>2062</v>
      </c>
      <c r="B63" s="446" t="s">
        <v>462</v>
      </c>
      <c r="C63" s="445">
        <v>2845</v>
      </c>
      <c r="D63" s="443" t="s">
        <v>405</v>
      </c>
    </row>
    <row r="64" spans="1:4" ht="14.25" customHeight="1" x14ac:dyDescent="0.25">
      <c r="A64" s="443">
        <v>2063</v>
      </c>
      <c r="B64" s="446" t="s">
        <v>463</v>
      </c>
      <c r="C64" s="445">
        <v>2320</v>
      </c>
      <c r="D64" s="443" t="s">
        <v>405</v>
      </c>
    </row>
    <row r="65" spans="1:4" ht="14.25" customHeight="1" x14ac:dyDescent="0.25">
      <c r="A65" s="443">
        <v>2064</v>
      </c>
      <c r="B65" s="446" t="s">
        <v>464</v>
      </c>
      <c r="C65" s="445">
        <v>1334</v>
      </c>
      <c r="D65" s="443" t="s">
        <v>405</v>
      </c>
    </row>
    <row r="66" spans="1:4" ht="14.25" customHeight="1" x14ac:dyDescent="0.25">
      <c r="A66" s="443">
        <v>2065</v>
      </c>
      <c r="B66" s="446" t="s">
        <v>465</v>
      </c>
      <c r="C66" s="445">
        <v>5800</v>
      </c>
      <c r="D66" s="443" t="s">
        <v>405</v>
      </c>
    </row>
    <row r="67" spans="1:4" ht="14.25" customHeight="1" x14ac:dyDescent="0.25">
      <c r="A67" s="443">
        <v>2066</v>
      </c>
      <c r="B67" s="446" t="s">
        <v>466</v>
      </c>
      <c r="C67" s="445">
        <v>6380</v>
      </c>
      <c r="D67" s="443" t="s">
        <v>405</v>
      </c>
    </row>
    <row r="68" spans="1:4" ht="14.25" customHeight="1" x14ac:dyDescent="0.25">
      <c r="A68" s="443">
        <v>2067</v>
      </c>
      <c r="B68" s="446" t="s">
        <v>467</v>
      </c>
      <c r="C68" s="445">
        <v>7656</v>
      </c>
      <c r="D68" s="443" t="s">
        <v>405</v>
      </c>
    </row>
    <row r="69" spans="1:4" ht="14.25" customHeight="1" x14ac:dyDescent="0.25">
      <c r="A69" s="443">
        <v>2068</v>
      </c>
      <c r="B69" s="446" t="s">
        <v>468</v>
      </c>
      <c r="C69" s="445">
        <v>10440</v>
      </c>
      <c r="D69" s="443" t="s">
        <v>405</v>
      </c>
    </row>
    <row r="70" spans="1:4" ht="14.25" customHeight="1" x14ac:dyDescent="0.25">
      <c r="A70" s="443">
        <v>2069</v>
      </c>
      <c r="B70" s="446" t="s">
        <v>469</v>
      </c>
      <c r="C70" s="445">
        <v>17052</v>
      </c>
      <c r="D70" s="443" t="s">
        <v>405</v>
      </c>
    </row>
    <row r="71" spans="1:4" ht="14.25" customHeight="1" x14ac:dyDescent="0.25">
      <c r="A71" s="443">
        <v>2070</v>
      </c>
      <c r="B71" s="446" t="s">
        <v>470</v>
      </c>
      <c r="C71" s="445">
        <v>122496</v>
      </c>
      <c r="D71" s="443" t="s">
        <v>405</v>
      </c>
    </row>
    <row r="72" spans="1:4" ht="14.25" customHeight="1" x14ac:dyDescent="0.25">
      <c r="A72" s="443">
        <v>2071</v>
      </c>
      <c r="B72" s="446" t="s">
        <v>471</v>
      </c>
      <c r="C72" s="445">
        <v>100000</v>
      </c>
      <c r="D72" s="443" t="s">
        <v>405</v>
      </c>
    </row>
    <row r="73" spans="1:4" ht="14.25" customHeight="1" x14ac:dyDescent="0.25">
      <c r="A73" s="443">
        <v>2072</v>
      </c>
      <c r="B73" s="446" t="s">
        <v>472</v>
      </c>
      <c r="C73" s="445">
        <v>100000</v>
      </c>
      <c r="D73" s="443" t="s">
        <v>405</v>
      </c>
    </row>
    <row r="74" spans="1:4" ht="14.25" customHeight="1" x14ac:dyDescent="0.25">
      <c r="A74" s="443">
        <v>2073</v>
      </c>
      <c r="B74" s="446" t="s">
        <v>473</v>
      </c>
      <c r="C74" s="445">
        <v>100000</v>
      </c>
      <c r="D74" s="443" t="s">
        <v>405</v>
      </c>
    </row>
    <row r="75" spans="1:4" ht="14.25" customHeight="1" x14ac:dyDescent="0.25">
      <c r="A75" s="443">
        <v>2074</v>
      </c>
      <c r="B75" s="446" t="s">
        <v>474</v>
      </c>
      <c r="C75" s="445">
        <v>100000</v>
      </c>
      <c r="D75" s="443" t="s">
        <v>405</v>
      </c>
    </row>
    <row r="76" spans="1:4" ht="14.25" customHeight="1" x14ac:dyDescent="0.25">
      <c r="A76" s="443">
        <v>2075</v>
      </c>
      <c r="B76" s="446" t="s">
        <v>471</v>
      </c>
      <c r="C76" s="445">
        <v>100000</v>
      </c>
      <c r="D76" s="443" t="s">
        <v>405</v>
      </c>
    </row>
    <row r="77" spans="1:4" ht="14.25" customHeight="1" x14ac:dyDescent="0.25">
      <c r="A77" s="443">
        <v>2076</v>
      </c>
      <c r="B77" s="446" t="s">
        <v>475</v>
      </c>
      <c r="C77" s="445">
        <v>100000</v>
      </c>
      <c r="D77" s="443" t="s">
        <v>405</v>
      </c>
    </row>
    <row r="78" spans="1:4" ht="14.25" customHeight="1" x14ac:dyDescent="0.25">
      <c r="A78" s="443">
        <v>2077</v>
      </c>
      <c r="B78" s="446" t="s">
        <v>476</v>
      </c>
      <c r="C78" s="445">
        <v>100000</v>
      </c>
      <c r="D78" s="443" t="s">
        <v>405</v>
      </c>
    </row>
    <row r="79" spans="1:4" ht="14.25" customHeight="1" x14ac:dyDescent="0.25">
      <c r="A79" s="443">
        <v>2078</v>
      </c>
      <c r="B79" s="446" t="s">
        <v>477</v>
      </c>
      <c r="C79" s="445">
        <v>7900</v>
      </c>
      <c r="D79" s="443" t="s">
        <v>405</v>
      </c>
    </row>
    <row r="80" spans="1:4" ht="14.25" customHeight="1" x14ac:dyDescent="0.25">
      <c r="A80" s="443">
        <v>2079</v>
      </c>
      <c r="B80" s="446" t="s">
        <v>478</v>
      </c>
      <c r="C80" s="445">
        <v>180</v>
      </c>
      <c r="D80" s="443" t="s">
        <v>405</v>
      </c>
    </row>
    <row r="81" spans="1:4" ht="14.25" customHeight="1" x14ac:dyDescent="0.25">
      <c r="A81" s="443">
        <v>2080</v>
      </c>
      <c r="B81" s="446" t="s">
        <v>479</v>
      </c>
      <c r="C81" s="445">
        <v>94888</v>
      </c>
      <c r="D81" s="443" t="s">
        <v>400</v>
      </c>
    </row>
    <row r="82" spans="1:4" ht="14.25" customHeight="1" x14ac:dyDescent="0.25">
      <c r="A82" s="443">
        <v>2081</v>
      </c>
      <c r="B82" s="446" t="s">
        <v>480</v>
      </c>
      <c r="C82" s="445">
        <v>120756</v>
      </c>
      <c r="D82" s="443" t="s">
        <v>400</v>
      </c>
    </row>
    <row r="83" spans="1:4" ht="14.25" customHeight="1" x14ac:dyDescent="0.25">
      <c r="A83" s="443">
        <v>2082</v>
      </c>
      <c r="B83" s="446" t="s">
        <v>481</v>
      </c>
      <c r="C83" s="445">
        <v>41760</v>
      </c>
      <c r="D83" s="443" t="s">
        <v>400</v>
      </c>
    </row>
    <row r="84" spans="1:4" ht="14.25" customHeight="1" x14ac:dyDescent="0.25">
      <c r="A84" s="443">
        <v>2083</v>
      </c>
      <c r="B84" s="446" t="s">
        <v>482</v>
      </c>
      <c r="C84" s="445">
        <v>36772</v>
      </c>
      <c r="D84" s="443" t="s">
        <v>400</v>
      </c>
    </row>
    <row r="85" spans="1:4" ht="14.25" customHeight="1" x14ac:dyDescent="0.25">
      <c r="A85" s="443">
        <v>2084</v>
      </c>
      <c r="B85" s="446" t="s">
        <v>483</v>
      </c>
      <c r="C85" s="445">
        <v>30000</v>
      </c>
      <c r="D85" s="443" t="s">
        <v>400</v>
      </c>
    </row>
    <row r="86" spans="1:4" ht="14.25" customHeight="1" x14ac:dyDescent="0.25">
      <c r="A86" s="443">
        <v>2085</v>
      </c>
      <c r="B86" s="446" t="s">
        <v>484</v>
      </c>
      <c r="C86" s="445">
        <v>11786</v>
      </c>
      <c r="D86" s="443" t="s">
        <v>400</v>
      </c>
    </row>
    <row r="87" spans="1:4" ht="14.25" customHeight="1" x14ac:dyDescent="0.25">
      <c r="A87" s="443">
        <v>2086</v>
      </c>
      <c r="B87" s="446" t="s">
        <v>485</v>
      </c>
      <c r="C87" s="445">
        <v>127716</v>
      </c>
      <c r="D87" s="443" t="s">
        <v>400</v>
      </c>
    </row>
    <row r="88" spans="1:4" ht="14.25" customHeight="1" x14ac:dyDescent="0.25">
      <c r="A88" s="443">
        <v>2087</v>
      </c>
      <c r="B88" s="446" t="s">
        <v>486</v>
      </c>
      <c r="C88" s="445">
        <v>62292</v>
      </c>
      <c r="D88" s="443" t="s">
        <v>400</v>
      </c>
    </row>
    <row r="89" spans="1:4" ht="14.25" customHeight="1" x14ac:dyDescent="0.25">
      <c r="A89" s="443">
        <v>2088</v>
      </c>
      <c r="B89" s="446" t="s">
        <v>487</v>
      </c>
      <c r="C89" s="445">
        <v>127600</v>
      </c>
      <c r="D89" s="443" t="s">
        <v>400</v>
      </c>
    </row>
    <row r="90" spans="1:4" ht="14.25" customHeight="1" x14ac:dyDescent="0.25">
      <c r="A90" s="443">
        <v>2089</v>
      </c>
      <c r="B90" s="446" t="s">
        <v>488</v>
      </c>
      <c r="C90" s="445">
        <v>191400</v>
      </c>
      <c r="D90" s="443" t="s">
        <v>400</v>
      </c>
    </row>
    <row r="91" spans="1:4" ht="14.25" customHeight="1" x14ac:dyDescent="0.25">
      <c r="A91" s="443">
        <v>2090</v>
      </c>
      <c r="B91" s="446" t="s">
        <v>489</v>
      </c>
      <c r="C91" s="445">
        <v>2000</v>
      </c>
      <c r="D91" s="443" t="s">
        <v>405</v>
      </c>
    </row>
    <row r="92" spans="1:4" ht="14.25" customHeight="1" x14ac:dyDescent="0.25">
      <c r="A92" s="443">
        <v>2091</v>
      </c>
      <c r="B92" s="446" t="s">
        <v>490</v>
      </c>
      <c r="C92" s="445">
        <v>2500</v>
      </c>
      <c r="D92" s="443" t="s">
        <v>290</v>
      </c>
    </row>
    <row r="93" spans="1:4" ht="14.25" customHeight="1" x14ac:dyDescent="0.25">
      <c r="A93" s="443">
        <v>2092</v>
      </c>
      <c r="B93" s="446" t="s">
        <v>491</v>
      </c>
      <c r="C93" s="445">
        <v>3400</v>
      </c>
      <c r="D93" s="443" t="s">
        <v>290</v>
      </c>
    </row>
    <row r="94" spans="1:4" ht="14.25" customHeight="1" x14ac:dyDescent="0.25">
      <c r="A94" s="443">
        <v>2093</v>
      </c>
      <c r="B94" s="446" t="s">
        <v>492</v>
      </c>
      <c r="C94" s="445">
        <v>37</v>
      </c>
      <c r="D94" s="443" t="s">
        <v>405</v>
      </c>
    </row>
    <row r="95" spans="1:4" ht="14.25" customHeight="1" x14ac:dyDescent="0.25">
      <c r="A95" s="443">
        <v>2094</v>
      </c>
      <c r="B95" s="444" t="s">
        <v>493</v>
      </c>
      <c r="C95" s="445">
        <v>101256</v>
      </c>
      <c r="D95" s="443" t="s">
        <v>400</v>
      </c>
    </row>
    <row r="96" spans="1:4" ht="14.25" customHeight="1" x14ac:dyDescent="0.25">
      <c r="A96" s="443">
        <v>2095</v>
      </c>
      <c r="B96" s="444" t="s">
        <v>494</v>
      </c>
      <c r="C96" s="445">
        <v>211000</v>
      </c>
      <c r="D96" s="443" t="s">
        <v>400</v>
      </c>
    </row>
    <row r="97" spans="1:4" ht="14.25" customHeight="1" x14ac:dyDescent="0.25">
      <c r="A97" s="443">
        <v>2096</v>
      </c>
      <c r="B97" s="444" t="s">
        <v>495</v>
      </c>
      <c r="C97" s="445">
        <v>4640</v>
      </c>
      <c r="D97" s="443" t="s">
        <v>405</v>
      </c>
    </row>
    <row r="98" spans="1:4" ht="14.25" customHeight="1" x14ac:dyDescent="0.25">
      <c r="A98" s="443">
        <v>2097</v>
      </c>
      <c r="B98" s="446" t="s">
        <v>496</v>
      </c>
      <c r="C98" s="445">
        <v>4176</v>
      </c>
      <c r="D98" s="443" t="s">
        <v>405</v>
      </c>
    </row>
    <row r="99" spans="1:4" ht="14.25" customHeight="1" x14ac:dyDescent="0.25">
      <c r="A99" s="443">
        <v>2098</v>
      </c>
      <c r="B99" s="446" t="s">
        <v>497</v>
      </c>
      <c r="C99" s="445">
        <v>3480</v>
      </c>
      <c r="D99" s="443" t="s">
        <v>405</v>
      </c>
    </row>
    <row r="100" spans="1:4" ht="14.25" customHeight="1" x14ac:dyDescent="0.25">
      <c r="A100" s="443">
        <v>2099</v>
      </c>
      <c r="B100" s="446" t="s">
        <v>498</v>
      </c>
      <c r="C100" s="445">
        <v>12000</v>
      </c>
      <c r="D100" s="443" t="s">
        <v>405</v>
      </c>
    </row>
    <row r="101" spans="1:4" ht="14.25" customHeight="1" x14ac:dyDescent="0.25">
      <c r="A101" s="443">
        <v>2100</v>
      </c>
      <c r="B101" s="446" t="s">
        <v>499</v>
      </c>
      <c r="C101" s="445">
        <v>12000</v>
      </c>
      <c r="D101" s="443" t="s">
        <v>405</v>
      </c>
    </row>
    <row r="102" spans="1:4" ht="14.25" customHeight="1" x14ac:dyDescent="0.25">
      <c r="A102" s="443">
        <v>2101</v>
      </c>
      <c r="B102" s="446" t="s">
        <v>500</v>
      </c>
      <c r="C102" s="445">
        <v>12000</v>
      </c>
      <c r="D102" s="443" t="s">
        <v>405</v>
      </c>
    </row>
    <row r="103" spans="1:4" ht="14.25" customHeight="1" x14ac:dyDescent="0.25">
      <c r="A103" s="443">
        <v>2102</v>
      </c>
      <c r="B103" s="446" t="s">
        <v>501</v>
      </c>
      <c r="C103" s="445">
        <v>500</v>
      </c>
      <c r="D103" s="443" t="s">
        <v>405</v>
      </c>
    </row>
    <row r="104" spans="1:4" ht="14.25" customHeight="1" x14ac:dyDescent="0.25">
      <c r="A104" s="443">
        <v>2103</v>
      </c>
      <c r="B104" s="446" t="s">
        <v>502</v>
      </c>
      <c r="C104" s="445">
        <v>972</v>
      </c>
      <c r="D104" s="443" t="s">
        <v>405</v>
      </c>
    </row>
    <row r="105" spans="1:4" ht="14.25" customHeight="1" x14ac:dyDescent="0.25">
      <c r="A105" s="443">
        <v>2104</v>
      </c>
      <c r="B105" s="446" t="s">
        <v>503</v>
      </c>
      <c r="C105" s="445">
        <v>806</v>
      </c>
      <c r="D105" s="443" t="s">
        <v>405</v>
      </c>
    </row>
    <row r="106" spans="1:4" ht="14.25" customHeight="1" x14ac:dyDescent="0.25">
      <c r="A106" s="443">
        <v>2105</v>
      </c>
      <c r="B106" s="446" t="s">
        <v>504</v>
      </c>
      <c r="C106" s="445">
        <v>400</v>
      </c>
      <c r="D106" s="443" t="s">
        <v>405</v>
      </c>
    </row>
    <row r="107" spans="1:4" ht="14.25" customHeight="1" x14ac:dyDescent="0.25">
      <c r="A107" s="443">
        <v>2106</v>
      </c>
      <c r="B107" s="446" t="s">
        <v>505</v>
      </c>
      <c r="C107" s="445">
        <v>200</v>
      </c>
      <c r="D107" s="443" t="s">
        <v>405</v>
      </c>
    </row>
    <row r="108" spans="1:4" ht="14.25" customHeight="1" x14ac:dyDescent="0.25">
      <c r="A108" s="443">
        <v>2107</v>
      </c>
      <c r="B108" s="446" t="s">
        <v>506</v>
      </c>
      <c r="C108" s="445">
        <v>200</v>
      </c>
      <c r="D108" s="443" t="s">
        <v>405</v>
      </c>
    </row>
    <row r="109" spans="1:4" ht="14.25" customHeight="1" x14ac:dyDescent="0.25">
      <c r="A109" s="443">
        <v>2108</v>
      </c>
      <c r="B109" s="446" t="s">
        <v>507</v>
      </c>
      <c r="C109" s="445">
        <v>200</v>
      </c>
      <c r="D109" s="443" t="s">
        <v>405</v>
      </c>
    </row>
    <row r="110" spans="1:4" ht="14.25" customHeight="1" x14ac:dyDescent="0.25">
      <c r="A110" s="443">
        <v>2109</v>
      </c>
      <c r="B110" s="446" t="s">
        <v>508</v>
      </c>
      <c r="C110" s="445">
        <v>200</v>
      </c>
      <c r="D110" s="443" t="s">
        <v>405</v>
      </c>
    </row>
    <row r="111" spans="1:4" ht="14.25" customHeight="1" x14ac:dyDescent="0.25">
      <c r="A111" s="443">
        <v>2110</v>
      </c>
      <c r="B111" s="446" t="s">
        <v>509</v>
      </c>
      <c r="C111" s="445">
        <v>200</v>
      </c>
      <c r="D111" s="443" t="s">
        <v>405</v>
      </c>
    </row>
    <row r="112" spans="1:4" ht="14.25" customHeight="1" x14ac:dyDescent="0.25">
      <c r="A112" s="443">
        <v>2111</v>
      </c>
      <c r="B112" s="446" t="s">
        <v>510</v>
      </c>
      <c r="C112" s="445">
        <v>200</v>
      </c>
      <c r="D112" s="443" t="s">
        <v>405</v>
      </c>
    </row>
    <row r="113" spans="1:4" ht="14.25" customHeight="1" x14ac:dyDescent="0.25">
      <c r="A113" s="443">
        <v>2112</v>
      </c>
      <c r="B113" s="446" t="s">
        <v>511</v>
      </c>
      <c r="C113" s="445">
        <v>48720</v>
      </c>
      <c r="D113" s="443" t="s">
        <v>400</v>
      </c>
    </row>
    <row r="114" spans="1:4" ht="14.25" customHeight="1" x14ac:dyDescent="0.25">
      <c r="A114" s="443">
        <v>2113</v>
      </c>
      <c r="B114" s="446" t="s">
        <v>512</v>
      </c>
      <c r="C114" s="445">
        <v>5916</v>
      </c>
      <c r="D114" s="443" t="s">
        <v>400</v>
      </c>
    </row>
    <row r="115" spans="1:4" ht="14.25" customHeight="1" x14ac:dyDescent="0.25">
      <c r="A115" s="443">
        <v>2114</v>
      </c>
      <c r="B115" s="446" t="s">
        <v>513</v>
      </c>
      <c r="C115" s="445">
        <v>48094</v>
      </c>
      <c r="D115" s="443" t="s">
        <v>400</v>
      </c>
    </row>
    <row r="116" spans="1:4" ht="14.25" customHeight="1" x14ac:dyDescent="0.25">
      <c r="A116" s="443">
        <v>2115</v>
      </c>
      <c r="B116" s="446" t="s">
        <v>514</v>
      </c>
      <c r="C116" s="445">
        <v>32712</v>
      </c>
      <c r="D116" s="443" t="s">
        <v>400</v>
      </c>
    </row>
    <row r="117" spans="1:4" ht="14.25" customHeight="1" x14ac:dyDescent="0.25">
      <c r="A117" s="443">
        <v>2116</v>
      </c>
      <c r="B117" s="446" t="s">
        <v>515</v>
      </c>
      <c r="C117" s="445">
        <v>129920</v>
      </c>
      <c r="D117" s="443" t="s">
        <v>400</v>
      </c>
    </row>
    <row r="118" spans="1:4" ht="14.25" customHeight="1" x14ac:dyDescent="0.25">
      <c r="A118" s="443">
        <v>2117</v>
      </c>
      <c r="B118" s="446" t="s">
        <v>516</v>
      </c>
      <c r="C118" s="445">
        <v>81107</v>
      </c>
      <c r="D118" s="443" t="s">
        <v>400</v>
      </c>
    </row>
    <row r="119" spans="1:4" ht="14.25" customHeight="1" x14ac:dyDescent="0.25">
      <c r="A119" s="443">
        <v>2118</v>
      </c>
      <c r="B119" s="446" t="s">
        <v>517</v>
      </c>
      <c r="C119" s="445">
        <v>54043</v>
      </c>
      <c r="D119" s="443" t="s">
        <v>400</v>
      </c>
    </row>
    <row r="120" spans="1:4" ht="14.25" customHeight="1" x14ac:dyDescent="0.25">
      <c r="A120" s="443">
        <v>2119</v>
      </c>
      <c r="B120" s="446" t="s">
        <v>518</v>
      </c>
      <c r="C120" s="445">
        <v>60990</v>
      </c>
      <c r="D120" s="443" t="s">
        <v>400</v>
      </c>
    </row>
    <row r="121" spans="1:4" ht="14.25" customHeight="1" x14ac:dyDescent="0.25">
      <c r="A121" s="443">
        <v>2120</v>
      </c>
      <c r="B121" s="446" t="s">
        <v>519</v>
      </c>
      <c r="C121" s="445">
        <v>45936</v>
      </c>
      <c r="D121" s="443" t="s">
        <v>400</v>
      </c>
    </row>
    <row r="122" spans="1:4" ht="14.25" customHeight="1" x14ac:dyDescent="0.25">
      <c r="A122" s="443">
        <v>2121</v>
      </c>
      <c r="B122" s="446" t="s">
        <v>520</v>
      </c>
      <c r="C122" s="445">
        <v>36888</v>
      </c>
      <c r="D122" s="443" t="s">
        <v>400</v>
      </c>
    </row>
    <row r="123" spans="1:4" ht="14.25" customHeight="1" x14ac:dyDescent="0.25">
      <c r="A123" s="443">
        <v>2122</v>
      </c>
      <c r="B123" s="446" t="s">
        <v>521</v>
      </c>
      <c r="C123" s="445">
        <v>18957</v>
      </c>
      <c r="D123" s="443" t="s">
        <v>400</v>
      </c>
    </row>
    <row r="124" spans="1:4" ht="14.25" customHeight="1" x14ac:dyDescent="0.25">
      <c r="A124" s="443">
        <v>2123</v>
      </c>
      <c r="B124" s="446" t="s">
        <v>522</v>
      </c>
      <c r="C124" s="445">
        <v>141520</v>
      </c>
      <c r="D124" s="443" t="s">
        <v>400</v>
      </c>
    </row>
    <row r="125" spans="1:4" ht="14.25" customHeight="1" x14ac:dyDescent="0.25">
      <c r="A125" s="443">
        <v>2124</v>
      </c>
      <c r="B125" s="446" t="s">
        <v>523</v>
      </c>
      <c r="C125" s="445">
        <v>166469</v>
      </c>
      <c r="D125" s="443" t="s">
        <v>400</v>
      </c>
    </row>
    <row r="126" spans="1:4" ht="14.25" customHeight="1" x14ac:dyDescent="0.25">
      <c r="A126" s="443">
        <v>2125</v>
      </c>
      <c r="B126" s="446" t="s">
        <v>524</v>
      </c>
      <c r="C126" s="445">
        <v>72646</v>
      </c>
      <c r="D126" s="443" t="s">
        <v>400</v>
      </c>
    </row>
    <row r="127" spans="1:4" ht="14.25" customHeight="1" x14ac:dyDescent="0.25">
      <c r="A127" s="443">
        <v>2126</v>
      </c>
      <c r="B127" s="446" t="s">
        <v>525</v>
      </c>
      <c r="C127" s="445">
        <v>183048</v>
      </c>
      <c r="D127" s="443" t="s">
        <v>400</v>
      </c>
    </row>
    <row r="128" spans="1:4" ht="14.25" customHeight="1" x14ac:dyDescent="0.25">
      <c r="A128" s="443">
        <v>2127</v>
      </c>
      <c r="B128" s="446" t="s">
        <v>526</v>
      </c>
      <c r="C128" s="445">
        <v>26564</v>
      </c>
      <c r="D128" s="443" t="s">
        <v>400</v>
      </c>
    </row>
    <row r="129" spans="1:4" ht="14.25" customHeight="1" x14ac:dyDescent="0.25">
      <c r="A129" s="443">
        <v>2128</v>
      </c>
      <c r="B129" s="446" t="s">
        <v>527</v>
      </c>
      <c r="C129" s="445">
        <v>11600</v>
      </c>
      <c r="D129" s="443" t="s">
        <v>400</v>
      </c>
    </row>
    <row r="130" spans="1:4" ht="14.25" customHeight="1" x14ac:dyDescent="0.25">
      <c r="A130" s="443">
        <v>2129</v>
      </c>
      <c r="B130" s="446" t="s">
        <v>528</v>
      </c>
      <c r="C130" s="445">
        <v>21228</v>
      </c>
      <c r="D130" s="443" t="s">
        <v>400</v>
      </c>
    </row>
    <row r="131" spans="1:4" ht="14.25" customHeight="1" x14ac:dyDescent="0.25">
      <c r="A131" s="443">
        <v>2130</v>
      </c>
      <c r="B131" s="446" t="s">
        <v>529</v>
      </c>
      <c r="C131" s="445">
        <v>31320</v>
      </c>
      <c r="D131" s="443" t="s">
        <v>400</v>
      </c>
    </row>
    <row r="132" spans="1:4" ht="14.25" customHeight="1" x14ac:dyDescent="0.25">
      <c r="A132" s="443">
        <v>2131</v>
      </c>
      <c r="B132" s="446" t="s">
        <v>530</v>
      </c>
      <c r="C132" s="445">
        <v>89436</v>
      </c>
      <c r="D132" s="443" t="s">
        <v>400</v>
      </c>
    </row>
    <row r="133" spans="1:4" ht="14.25" customHeight="1" x14ac:dyDescent="0.25">
      <c r="A133" s="443">
        <v>2132</v>
      </c>
      <c r="B133" s="446" t="s">
        <v>531</v>
      </c>
      <c r="C133" s="445">
        <v>207930</v>
      </c>
      <c r="D133" s="443" t="s">
        <v>400</v>
      </c>
    </row>
    <row r="134" spans="1:4" ht="14.25" customHeight="1" x14ac:dyDescent="0.25">
      <c r="A134" s="443">
        <v>2133</v>
      </c>
      <c r="B134" s="446" t="s">
        <v>532</v>
      </c>
      <c r="C134" s="445">
        <v>3500</v>
      </c>
      <c r="D134" s="443" t="s">
        <v>405</v>
      </c>
    </row>
    <row r="135" spans="1:4" ht="14.25" customHeight="1" x14ac:dyDescent="0.25">
      <c r="A135" s="443">
        <v>2134</v>
      </c>
      <c r="B135" s="446" t="s">
        <v>533</v>
      </c>
      <c r="C135" s="445">
        <v>3200</v>
      </c>
      <c r="D135" s="443" t="s">
        <v>400</v>
      </c>
    </row>
    <row r="136" spans="1:4" ht="14.25" customHeight="1" x14ac:dyDescent="0.25">
      <c r="A136" s="443">
        <v>2135</v>
      </c>
      <c r="B136" s="446" t="s">
        <v>534</v>
      </c>
      <c r="C136" s="445">
        <v>5648</v>
      </c>
      <c r="D136" s="443" t="s">
        <v>400</v>
      </c>
    </row>
    <row r="137" spans="1:4" ht="14.25" customHeight="1" x14ac:dyDescent="0.25">
      <c r="A137" s="443">
        <v>2136</v>
      </c>
      <c r="B137" s="446" t="s">
        <v>535</v>
      </c>
      <c r="C137" s="445">
        <v>9280</v>
      </c>
      <c r="D137" s="443" t="s">
        <v>400</v>
      </c>
    </row>
    <row r="138" spans="1:4" ht="14.25" customHeight="1" x14ac:dyDescent="0.25">
      <c r="A138" s="443">
        <v>2137</v>
      </c>
      <c r="B138" s="443" t="s">
        <v>536</v>
      </c>
      <c r="C138" s="445">
        <v>6800</v>
      </c>
      <c r="D138" s="443" t="s">
        <v>290</v>
      </c>
    </row>
    <row r="139" spans="1:4" ht="14.25" customHeight="1" x14ac:dyDescent="0.25">
      <c r="A139" s="443">
        <v>2138</v>
      </c>
      <c r="B139" s="449" t="s">
        <v>537</v>
      </c>
      <c r="C139" s="445">
        <v>15000</v>
      </c>
      <c r="D139" s="443" t="s">
        <v>290</v>
      </c>
    </row>
    <row r="140" spans="1:4" ht="14.25" customHeight="1" x14ac:dyDescent="0.25">
      <c r="A140" s="443">
        <v>2139</v>
      </c>
      <c r="B140" s="443" t="s">
        <v>538</v>
      </c>
      <c r="C140" s="445">
        <v>1000</v>
      </c>
      <c r="D140" s="443" t="s">
        <v>290</v>
      </c>
    </row>
    <row r="141" spans="1:4" ht="14.25" customHeight="1" x14ac:dyDescent="0.25">
      <c r="A141" s="443">
        <v>2140</v>
      </c>
      <c r="B141" s="443" t="s">
        <v>539</v>
      </c>
      <c r="C141" s="445">
        <v>800</v>
      </c>
      <c r="D141" s="443" t="s">
        <v>290</v>
      </c>
    </row>
    <row r="142" spans="1:4" ht="14.25" customHeight="1" x14ac:dyDescent="0.25">
      <c r="A142" s="443">
        <v>2141</v>
      </c>
      <c r="B142" s="443" t="s">
        <v>540</v>
      </c>
      <c r="C142" s="445">
        <v>33600</v>
      </c>
      <c r="D142" s="443" t="s">
        <v>290</v>
      </c>
    </row>
    <row r="143" spans="1:4" ht="14.25" customHeight="1" x14ac:dyDescent="0.25">
      <c r="A143" s="443">
        <v>2142</v>
      </c>
      <c r="B143" s="443" t="s">
        <v>541</v>
      </c>
      <c r="C143" s="445">
        <v>1345</v>
      </c>
      <c r="D143" s="443" t="s">
        <v>290</v>
      </c>
    </row>
    <row r="144" spans="1:4" ht="14.25" customHeight="1" x14ac:dyDescent="0.25">
      <c r="A144" s="443">
        <v>2143</v>
      </c>
      <c r="B144" s="443" t="s">
        <v>542</v>
      </c>
      <c r="C144" s="445">
        <v>1345</v>
      </c>
      <c r="D144" s="443" t="s">
        <v>290</v>
      </c>
    </row>
    <row r="145" spans="1:4" ht="14.25" customHeight="1" x14ac:dyDescent="0.25">
      <c r="A145" s="443">
        <v>2144</v>
      </c>
      <c r="B145" s="443" t="s">
        <v>543</v>
      </c>
      <c r="C145" s="445">
        <v>34500</v>
      </c>
      <c r="D145" s="443" t="s">
        <v>290</v>
      </c>
    </row>
    <row r="146" spans="1:4" ht="14.25" customHeight="1" x14ac:dyDescent="0.25">
      <c r="A146" s="443">
        <v>2145</v>
      </c>
      <c r="B146" s="443" t="s">
        <v>544</v>
      </c>
      <c r="C146" s="445">
        <v>34500</v>
      </c>
      <c r="D146" s="443" t="s">
        <v>290</v>
      </c>
    </row>
    <row r="147" spans="1:4" ht="14.25" customHeight="1" x14ac:dyDescent="0.25">
      <c r="A147" s="443">
        <v>2146</v>
      </c>
      <c r="B147" s="443" t="s">
        <v>545</v>
      </c>
      <c r="C147" s="445">
        <v>34500</v>
      </c>
      <c r="D147" s="443" t="s">
        <v>290</v>
      </c>
    </row>
    <row r="148" spans="1:4" ht="14.25" customHeight="1" x14ac:dyDescent="0.25">
      <c r="A148" s="443">
        <v>2147</v>
      </c>
      <c r="B148" s="443" t="s">
        <v>546</v>
      </c>
      <c r="C148" s="445">
        <v>6700</v>
      </c>
      <c r="D148" s="443" t="s">
        <v>290</v>
      </c>
    </row>
    <row r="149" spans="1:4" ht="14.25" customHeight="1" x14ac:dyDescent="0.25">
      <c r="A149" s="443">
        <v>2148</v>
      </c>
      <c r="B149" s="443" t="s">
        <v>547</v>
      </c>
      <c r="C149" s="445">
        <v>6700</v>
      </c>
      <c r="D149" s="443" t="s">
        <v>290</v>
      </c>
    </row>
    <row r="150" spans="1:4" ht="14.25" customHeight="1" x14ac:dyDescent="0.25">
      <c r="A150" s="443">
        <v>2149</v>
      </c>
      <c r="B150" s="443" t="s">
        <v>548</v>
      </c>
      <c r="C150" s="445">
        <v>2400</v>
      </c>
      <c r="D150" s="443" t="s">
        <v>290</v>
      </c>
    </row>
    <row r="151" spans="1:4" ht="14.25" customHeight="1" x14ac:dyDescent="0.25">
      <c r="A151" s="443">
        <v>2150</v>
      </c>
      <c r="B151" s="443" t="s">
        <v>549</v>
      </c>
      <c r="C151" s="445">
        <v>9800</v>
      </c>
      <c r="D151" s="443" t="s">
        <v>290</v>
      </c>
    </row>
    <row r="152" spans="1:4" ht="14.25" customHeight="1" x14ac:dyDescent="0.25">
      <c r="A152" s="443">
        <v>2151</v>
      </c>
      <c r="B152" s="449" t="s">
        <v>550</v>
      </c>
      <c r="C152" s="445">
        <v>12000</v>
      </c>
      <c r="D152" s="443" t="s">
        <v>290</v>
      </c>
    </row>
    <row r="153" spans="1:4" ht="14.25" customHeight="1" x14ac:dyDescent="0.25">
      <c r="A153" s="443">
        <v>2152</v>
      </c>
      <c r="B153" s="443" t="s">
        <v>551</v>
      </c>
      <c r="C153" s="445">
        <v>12000</v>
      </c>
      <c r="D153" s="443" t="s">
        <v>290</v>
      </c>
    </row>
    <row r="154" spans="1:4" ht="14.25" customHeight="1" x14ac:dyDescent="0.25">
      <c r="A154" s="443">
        <v>2153</v>
      </c>
      <c r="B154" s="449" t="s">
        <v>552</v>
      </c>
      <c r="C154" s="445">
        <v>12000</v>
      </c>
      <c r="D154" s="443" t="s">
        <v>290</v>
      </c>
    </row>
    <row r="155" spans="1:4" ht="14.25" customHeight="1" x14ac:dyDescent="0.25">
      <c r="A155" s="443">
        <v>2154</v>
      </c>
      <c r="B155" s="449" t="s">
        <v>553</v>
      </c>
      <c r="C155" s="445">
        <v>12000</v>
      </c>
      <c r="D155" s="443" t="s">
        <v>290</v>
      </c>
    </row>
    <row r="156" spans="1:4" ht="14.25" customHeight="1" x14ac:dyDescent="0.25">
      <c r="A156" s="443">
        <v>2155</v>
      </c>
      <c r="B156" s="443" t="s">
        <v>554</v>
      </c>
      <c r="C156" s="445">
        <v>12000</v>
      </c>
      <c r="D156" s="443" t="s">
        <v>290</v>
      </c>
    </row>
    <row r="157" spans="1:4" ht="14.25" customHeight="1" x14ac:dyDescent="0.25">
      <c r="A157" s="443">
        <v>2156</v>
      </c>
      <c r="B157" s="443" t="s">
        <v>555</v>
      </c>
      <c r="C157" s="445">
        <v>12000</v>
      </c>
      <c r="D157" s="443" t="s">
        <v>290</v>
      </c>
    </row>
    <row r="158" spans="1:4" ht="14.25" customHeight="1" x14ac:dyDescent="0.25">
      <c r="A158" s="443">
        <v>2157</v>
      </c>
      <c r="B158" s="443" t="s">
        <v>556</v>
      </c>
      <c r="C158" s="445">
        <v>2500</v>
      </c>
      <c r="D158" s="443" t="s">
        <v>290</v>
      </c>
    </row>
    <row r="159" spans="1:4" ht="14.25" customHeight="1" x14ac:dyDescent="0.25">
      <c r="A159" s="443">
        <v>2158</v>
      </c>
      <c r="B159" s="443" t="s">
        <v>557</v>
      </c>
      <c r="C159" s="445">
        <v>2500</v>
      </c>
      <c r="D159" s="443" t="s">
        <v>290</v>
      </c>
    </row>
    <row r="160" spans="1:4" ht="14.25" customHeight="1" x14ac:dyDescent="0.25">
      <c r="A160" s="443">
        <v>2159</v>
      </c>
      <c r="B160" s="443" t="s">
        <v>558</v>
      </c>
      <c r="C160" s="445">
        <v>2500</v>
      </c>
      <c r="D160" s="443" t="s">
        <v>290</v>
      </c>
    </row>
    <row r="161" spans="1:4" ht="14.25" customHeight="1" x14ac:dyDescent="0.25">
      <c r="A161" s="443">
        <v>2160</v>
      </c>
      <c r="B161" s="443" t="s">
        <v>559</v>
      </c>
      <c r="C161" s="445">
        <v>2500</v>
      </c>
      <c r="D161" s="443" t="s">
        <v>290</v>
      </c>
    </row>
    <row r="162" spans="1:4" ht="14.25" customHeight="1" x14ac:dyDescent="0.25">
      <c r="A162" s="443">
        <v>2161</v>
      </c>
      <c r="B162" s="443" t="s">
        <v>560</v>
      </c>
      <c r="C162" s="445">
        <v>2500</v>
      </c>
      <c r="D162" s="443" t="s">
        <v>290</v>
      </c>
    </row>
    <row r="163" spans="1:4" ht="14.25" customHeight="1" x14ac:dyDescent="0.25">
      <c r="A163" s="443">
        <v>2162</v>
      </c>
      <c r="B163" s="443" t="s">
        <v>561</v>
      </c>
      <c r="C163" s="445">
        <v>2500</v>
      </c>
      <c r="D163" s="443" t="s">
        <v>290</v>
      </c>
    </row>
    <row r="164" spans="1:4" ht="14.25" customHeight="1" x14ac:dyDescent="0.25">
      <c r="A164" s="443">
        <v>2163</v>
      </c>
      <c r="B164" s="443" t="s">
        <v>562</v>
      </c>
      <c r="C164" s="445">
        <v>15000</v>
      </c>
      <c r="D164" s="443" t="s">
        <v>290</v>
      </c>
    </row>
    <row r="165" spans="1:4" ht="14.25" customHeight="1" x14ac:dyDescent="0.25">
      <c r="A165" s="443">
        <v>2164</v>
      </c>
      <c r="B165" s="443" t="s">
        <v>563</v>
      </c>
      <c r="C165" s="445">
        <v>15000</v>
      </c>
      <c r="D165" s="443" t="s">
        <v>290</v>
      </c>
    </row>
    <row r="166" spans="1:4" ht="14.25" customHeight="1" x14ac:dyDescent="0.25">
      <c r="A166" s="443">
        <v>2165</v>
      </c>
      <c r="B166" s="443" t="s">
        <v>564</v>
      </c>
      <c r="C166" s="445">
        <v>15000</v>
      </c>
      <c r="D166" s="443" t="s">
        <v>290</v>
      </c>
    </row>
    <row r="167" spans="1:4" ht="14.25" customHeight="1" x14ac:dyDescent="0.25">
      <c r="A167" s="443">
        <v>2166</v>
      </c>
      <c r="B167" s="443" t="s">
        <v>565</v>
      </c>
      <c r="C167" s="445">
        <v>15000</v>
      </c>
      <c r="D167" s="443" t="s">
        <v>290</v>
      </c>
    </row>
    <row r="168" spans="1:4" ht="14.25" customHeight="1" x14ac:dyDescent="0.25">
      <c r="A168" s="443">
        <v>2167</v>
      </c>
      <c r="B168" s="443" t="s">
        <v>566</v>
      </c>
      <c r="C168" s="445">
        <v>36000</v>
      </c>
      <c r="D168" s="443" t="s">
        <v>290</v>
      </c>
    </row>
    <row r="169" spans="1:4" ht="14.25" customHeight="1" x14ac:dyDescent="0.25">
      <c r="A169" s="443">
        <v>2168</v>
      </c>
      <c r="B169" s="443" t="s">
        <v>567</v>
      </c>
      <c r="C169" s="445">
        <v>36000</v>
      </c>
      <c r="D169" s="443" t="s">
        <v>290</v>
      </c>
    </row>
    <row r="170" spans="1:4" ht="14.25" customHeight="1" x14ac:dyDescent="0.25">
      <c r="A170" s="443">
        <v>2169</v>
      </c>
      <c r="B170" s="443" t="s">
        <v>568</v>
      </c>
      <c r="C170" s="445">
        <v>36000</v>
      </c>
      <c r="D170" s="443" t="s">
        <v>290</v>
      </c>
    </row>
    <row r="171" spans="1:4" ht="14.25" customHeight="1" x14ac:dyDescent="0.25">
      <c r="A171" s="443">
        <v>2170</v>
      </c>
      <c r="B171" s="443" t="s">
        <v>569</v>
      </c>
      <c r="C171" s="445">
        <v>36000</v>
      </c>
      <c r="D171" s="443" t="s">
        <v>290</v>
      </c>
    </row>
    <row r="172" spans="1:4" ht="14.25" customHeight="1" x14ac:dyDescent="0.25">
      <c r="A172" s="443">
        <v>2171</v>
      </c>
      <c r="B172" s="443" t="s">
        <v>570</v>
      </c>
      <c r="C172" s="445">
        <v>36000</v>
      </c>
      <c r="D172" s="443" t="s">
        <v>290</v>
      </c>
    </row>
    <row r="173" spans="1:4" ht="14.25" customHeight="1" x14ac:dyDescent="0.25">
      <c r="A173" s="443">
        <v>2172</v>
      </c>
      <c r="B173" s="443" t="s">
        <v>571</v>
      </c>
      <c r="C173" s="445">
        <v>36000</v>
      </c>
      <c r="D173" s="443" t="s">
        <v>290</v>
      </c>
    </row>
    <row r="174" spans="1:4" ht="14.25" customHeight="1" x14ac:dyDescent="0.25">
      <c r="A174" s="443">
        <v>2173</v>
      </c>
      <c r="B174" s="443" t="s">
        <v>572</v>
      </c>
      <c r="C174" s="445">
        <v>36000</v>
      </c>
      <c r="D174" s="443" t="s">
        <v>290</v>
      </c>
    </row>
    <row r="175" spans="1:4" ht="14.25" customHeight="1" x14ac:dyDescent="0.25">
      <c r="A175" s="443">
        <v>2174</v>
      </c>
      <c r="B175" s="443" t="s">
        <v>573</v>
      </c>
      <c r="C175" s="445">
        <v>36000</v>
      </c>
      <c r="D175" s="443" t="s">
        <v>290</v>
      </c>
    </row>
    <row r="176" spans="1:4" ht="14.25" customHeight="1" x14ac:dyDescent="0.25">
      <c r="A176" s="443">
        <v>2175</v>
      </c>
      <c r="B176" s="443" t="s">
        <v>574</v>
      </c>
      <c r="C176" s="445">
        <v>36000</v>
      </c>
      <c r="D176" s="443" t="s">
        <v>290</v>
      </c>
    </row>
    <row r="177" spans="1:4" ht="14.25" customHeight="1" x14ac:dyDescent="0.25">
      <c r="A177" s="443">
        <v>2176</v>
      </c>
      <c r="B177" s="443" t="s">
        <v>575</v>
      </c>
      <c r="C177" s="445">
        <v>36000</v>
      </c>
      <c r="D177" s="443" t="s">
        <v>290</v>
      </c>
    </row>
    <row r="178" spans="1:4" ht="14.25" customHeight="1" x14ac:dyDescent="0.25">
      <c r="A178" s="443">
        <v>2177</v>
      </c>
      <c r="B178" s="443" t="s">
        <v>576</v>
      </c>
      <c r="C178" s="445">
        <v>12000</v>
      </c>
      <c r="D178" s="443" t="s">
        <v>290</v>
      </c>
    </row>
    <row r="179" spans="1:4" ht="14.25" customHeight="1" x14ac:dyDescent="0.25">
      <c r="A179" s="443">
        <v>2178</v>
      </c>
      <c r="B179" s="443" t="s">
        <v>577</v>
      </c>
      <c r="C179" s="445">
        <v>1000</v>
      </c>
      <c r="D179" s="443" t="s">
        <v>290</v>
      </c>
    </row>
    <row r="180" spans="1:4" ht="14.25" customHeight="1" x14ac:dyDescent="0.25">
      <c r="A180" s="443">
        <v>2179</v>
      </c>
      <c r="B180" s="443" t="s">
        <v>578</v>
      </c>
      <c r="C180" s="445">
        <v>1000</v>
      </c>
      <c r="D180" s="443" t="s">
        <v>290</v>
      </c>
    </row>
    <row r="181" spans="1:4" ht="14.25" customHeight="1" x14ac:dyDescent="0.25">
      <c r="A181" s="443">
        <v>2180</v>
      </c>
      <c r="B181" s="443" t="s">
        <v>579</v>
      </c>
      <c r="C181" s="445">
        <v>1000</v>
      </c>
      <c r="D181" s="443" t="s">
        <v>290</v>
      </c>
    </row>
    <row r="182" spans="1:4" ht="14.25" customHeight="1" x14ac:dyDescent="0.25">
      <c r="A182" s="443">
        <v>2181</v>
      </c>
      <c r="B182" s="443" t="s">
        <v>580</v>
      </c>
      <c r="C182" s="445">
        <v>1000</v>
      </c>
      <c r="D182" s="443" t="s">
        <v>290</v>
      </c>
    </row>
    <row r="183" spans="1:4" ht="14.25" customHeight="1" x14ac:dyDescent="0.25">
      <c r="A183" s="443">
        <v>2182</v>
      </c>
      <c r="B183" s="443" t="s">
        <v>581</v>
      </c>
      <c r="C183" s="445">
        <v>3800</v>
      </c>
      <c r="D183" s="443" t="s">
        <v>290</v>
      </c>
    </row>
    <row r="184" spans="1:4" ht="14.25" customHeight="1" x14ac:dyDescent="0.25">
      <c r="A184" s="443">
        <v>2183</v>
      </c>
      <c r="B184" s="443" t="s">
        <v>582</v>
      </c>
      <c r="C184" s="445">
        <v>3800</v>
      </c>
      <c r="D184" s="443" t="s">
        <v>290</v>
      </c>
    </row>
    <row r="185" spans="1:4" ht="14.25" customHeight="1" x14ac:dyDescent="0.25">
      <c r="A185" s="443">
        <v>2184</v>
      </c>
      <c r="B185" s="443" t="s">
        <v>583</v>
      </c>
      <c r="C185" s="445">
        <v>3800</v>
      </c>
      <c r="D185" s="443" t="s">
        <v>290</v>
      </c>
    </row>
    <row r="186" spans="1:4" ht="14.25" customHeight="1" x14ac:dyDescent="0.25">
      <c r="A186" s="443">
        <v>2185</v>
      </c>
      <c r="B186" s="443" t="s">
        <v>584</v>
      </c>
      <c r="C186" s="445">
        <v>85000</v>
      </c>
      <c r="D186" s="443" t="s">
        <v>290</v>
      </c>
    </row>
    <row r="187" spans="1:4" ht="14.25" customHeight="1" x14ac:dyDescent="0.25">
      <c r="A187" s="443">
        <v>2186</v>
      </c>
      <c r="B187" s="443" t="s">
        <v>585</v>
      </c>
      <c r="C187" s="445">
        <v>12600</v>
      </c>
      <c r="D187" s="443" t="s">
        <v>290</v>
      </c>
    </row>
    <row r="188" spans="1:4" ht="14.25" customHeight="1" x14ac:dyDescent="0.25">
      <c r="A188" s="443">
        <v>2187</v>
      </c>
      <c r="B188" s="443" t="s">
        <v>586</v>
      </c>
      <c r="C188" s="445">
        <v>12600</v>
      </c>
      <c r="D188" s="443" t="s">
        <v>290</v>
      </c>
    </row>
    <row r="189" spans="1:4" ht="14.25" customHeight="1" x14ac:dyDescent="0.25">
      <c r="A189" s="443">
        <v>2188</v>
      </c>
      <c r="B189" s="443" t="s">
        <v>587</v>
      </c>
      <c r="C189" s="445">
        <v>12600</v>
      </c>
      <c r="D189" s="443" t="s">
        <v>290</v>
      </c>
    </row>
    <row r="190" spans="1:4" ht="14.25" customHeight="1" x14ac:dyDescent="0.25">
      <c r="A190" s="443">
        <v>2189</v>
      </c>
      <c r="B190" s="443" t="s">
        <v>588</v>
      </c>
      <c r="C190" s="445">
        <v>12600</v>
      </c>
      <c r="D190" s="443" t="s">
        <v>290</v>
      </c>
    </row>
    <row r="191" spans="1:4" ht="14.25" customHeight="1" x14ac:dyDescent="0.25">
      <c r="A191" s="443">
        <v>2190</v>
      </c>
      <c r="B191" s="443" t="s">
        <v>589</v>
      </c>
      <c r="C191" s="445">
        <v>12600</v>
      </c>
      <c r="D191" s="443" t="s">
        <v>290</v>
      </c>
    </row>
    <row r="192" spans="1:4" ht="14.25" customHeight="1" x14ac:dyDescent="0.25">
      <c r="A192" s="443">
        <v>2191</v>
      </c>
      <c r="B192" s="443" t="s">
        <v>590</v>
      </c>
      <c r="C192" s="445">
        <v>12600</v>
      </c>
      <c r="D192" s="443" t="s">
        <v>290</v>
      </c>
    </row>
    <row r="193" spans="1:4" ht="14.25" customHeight="1" x14ac:dyDescent="0.25">
      <c r="A193" s="443">
        <v>2192</v>
      </c>
      <c r="B193" s="443" t="s">
        <v>591</v>
      </c>
      <c r="C193" s="445">
        <v>12600</v>
      </c>
      <c r="D193" s="443" t="s">
        <v>290</v>
      </c>
    </row>
    <row r="194" spans="1:4" ht="14.25" customHeight="1" x14ac:dyDescent="0.25">
      <c r="A194" s="443">
        <v>2193</v>
      </c>
      <c r="B194" s="443" t="s">
        <v>592</v>
      </c>
      <c r="C194" s="445">
        <v>12600</v>
      </c>
      <c r="D194" s="443" t="s">
        <v>290</v>
      </c>
    </row>
    <row r="195" spans="1:4" ht="14.25" customHeight="1" x14ac:dyDescent="0.25">
      <c r="A195" s="443">
        <v>2194</v>
      </c>
      <c r="B195" s="443" t="s">
        <v>593</v>
      </c>
      <c r="C195" s="445">
        <v>12600</v>
      </c>
      <c r="D195" s="443" t="s">
        <v>290</v>
      </c>
    </row>
    <row r="196" spans="1:4" ht="14.25" customHeight="1" x14ac:dyDescent="0.25">
      <c r="A196" s="443">
        <v>2195</v>
      </c>
      <c r="B196" s="443" t="s">
        <v>594</v>
      </c>
      <c r="C196" s="445">
        <v>15000</v>
      </c>
      <c r="D196" s="443" t="s">
        <v>290</v>
      </c>
    </row>
    <row r="197" spans="1:4" ht="14.25" customHeight="1" x14ac:dyDescent="0.25">
      <c r="A197" s="443">
        <v>2196</v>
      </c>
      <c r="B197" s="443" t="s">
        <v>595</v>
      </c>
      <c r="C197" s="445">
        <v>18000</v>
      </c>
      <c r="D197" s="443" t="s">
        <v>290</v>
      </c>
    </row>
    <row r="198" spans="1:4" ht="14.25" customHeight="1" x14ac:dyDescent="0.25">
      <c r="A198" s="443">
        <v>2197</v>
      </c>
      <c r="B198" s="443" t="s">
        <v>596</v>
      </c>
      <c r="C198" s="445">
        <v>35000</v>
      </c>
      <c r="D198" s="443" t="s">
        <v>290</v>
      </c>
    </row>
    <row r="199" spans="1:4" ht="14.25" customHeight="1" x14ac:dyDescent="0.25">
      <c r="A199" s="443">
        <v>2198</v>
      </c>
      <c r="B199" s="443" t="s">
        <v>597</v>
      </c>
      <c r="C199" s="445">
        <v>35000</v>
      </c>
      <c r="D199" s="443" t="s">
        <v>290</v>
      </c>
    </row>
    <row r="200" spans="1:4" ht="14.25" customHeight="1" x14ac:dyDescent="0.25">
      <c r="A200" s="443">
        <v>2199</v>
      </c>
      <c r="B200" s="443" t="s">
        <v>598</v>
      </c>
      <c r="C200" s="445">
        <v>35000</v>
      </c>
      <c r="D200" s="443" t="s">
        <v>290</v>
      </c>
    </row>
    <row r="201" spans="1:4" ht="14.25" customHeight="1" x14ac:dyDescent="0.25">
      <c r="A201" s="443">
        <v>2200</v>
      </c>
      <c r="B201" s="443" t="s">
        <v>599</v>
      </c>
      <c r="C201" s="445">
        <v>35000</v>
      </c>
      <c r="D201" s="443" t="s">
        <v>290</v>
      </c>
    </row>
    <row r="202" spans="1:4" ht="14.25" customHeight="1" x14ac:dyDescent="0.25">
      <c r="A202" s="443">
        <v>2201</v>
      </c>
      <c r="B202" s="443" t="s">
        <v>600</v>
      </c>
      <c r="C202" s="445">
        <v>35000</v>
      </c>
      <c r="D202" s="443" t="s">
        <v>290</v>
      </c>
    </row>
    <row r="203" spans="1:4" ht="14.25" customHeight="1" x14ac:dyDescent="0.25">
      <c r="A203" s="443">
        <v>2202</v>
      </c>
      <c r="B203" s="443" t="s">
        <v>601</v>
      </c>
      <c r="C203" s="445">
        <v>35000</v>
      </c>
      <c r="D203" s="443" t="s">
        <v>290</v>
      </c>
    </row>
    <row r="204" spans="1:4" ht="14.25" customHeight="1" x14ac:dyDescent="0.25">
      <c r="A204" s="443">
        <v>2203</v>
      </c>
      <c r="B204" s="443" t="s">
        <v>602</v>
      </c>
      <c r="C204" s="445">
        <v>35000</v>
      </c>
      <c r="D204" s="443" t="s">
        <v>290</v>
      </c>
    </row>
    <row r="205" spans="1:4" ht="14.25" customHeight="1" x14ac:dyDescent="0.25">
      <c r="A205" s="443">
        <v>2204</v>
      </c>
      <c r="B205" s="443" t="s">
        <v>603</v>
      </c>
      <c r="C205" s="445">
        <v>35000</v>
      </c>
      <c r="D205" s="443" t="s">
        <v>290</v>
      </c>
    </row>
    <row r="206" spans="1:4" ht="14.25" customHeight="1" x14ac:dyDescent="0.25">
      <c r="A206" s="443">
        <v>2205</v>
      </c>
      <c r="B206" s="443" t="s">
        <v>604</v>
      </c>
      <c r="C206" s="445">
        <v>2300</v>
      </c>
      <c r="D206" s="443" t="s">
        <v>290</v>
      </c>
    </row>
    <row r="207" spans="1:4" ht="14.25" customHeight="1" thickBot="1" x14ac:dyDescent="0.3">
      <c r="A207" s="450">
        <v>2206</v>
      </c>
      <c r="B207" s="450" t="s">
        <v>605</v>
      </c>
      <c r="C207" s="451">
        <v>2400</v>
      </c>
      <c r="D207" s="450" t="s">
        <v>290</v>
      </c>
    </row>
    <row r="208" spans="1:4" ht="15.75" thickBot="1" x14ac:dyDescent="0.3">
      <c r="A208" s="452"/>
      <c r="B208" s="453" t="s">
        <v>150</v>
      </c>
      <c r="C208" s="454">
        <f>SUM($C$2:$C$207)</f>
        <v>10136973.600000001</v>
      </c>
      <c r="D208" s="455"/>
    </row>
  </sheetData>
  <dataConsolidate function="product">
    <dataRefs count="2">
      <dataRef ref="B2:B6" sheet="ACERO" r:id="rId1"/>
      <dataRef ref="C3:E6" sheet="ACERO" r:id="rId2"/>
    </dataRefs>
  </dataConsolidate>
  <pageMargins left="0.7" right="0.7" top="0.75" bottom="0.75" header="0.3" footer="0.3"/>
  <pageSetup orientation="portrait"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tabColor theme="7" tint="-0.249977111117893"/>
  </sheetPr>
  <dimension ref="A1:G220"/>
  <sheetViews>
    <sheetView topLeftCell="A83" workbookViewId="0">
      <selection activeCell="C95" sqref="C95"/>
    </sheetView>
  </sheetViews>
  <sheetFormatPr baseColWidth="10" defaultRowHeight="15" x14ac:dyDescent="0.25"/>
  <cols>
    <col min="1" max="1" width="11.42578125" style="180"/>
    <col min="2" max="2" width="39.5703125" style="180" customWidth="1"/>
    <col min="3" max="3" width="14.5703125" style="181" bestFit="1" customWidth="1"/>
    <col min="4" max="4" width="20.5703125" style="180" customWidth="1"/>
    <col min="5" max="16384" width="11.42578125" style="180"/>
  </cols>
  <sheetData>
    <row r="1" spans="1:7" ht="15.75" thickBot="1" x14ac:dyDescent="0.3">
      <c r="A1" s="418" t="s">
        <v>284</v>
      </c>
      <c r="B1" s="418" t="s">
        <v>858</v>
      </c>
      <c r="C1" s="420" t="s">
        <v>116</v>
      </c>
      <c r="D1" s="406" t="s">
        <v>287</v>
      </c>
    </row>
    <row r="2" spans="1:7" ht="15.75" thickBot="1" x14ac:dyDescent="0.3">
      <c r="A2" s="376">
        <v>5001</v>
      </c>
      <c r="B2" s="435" t="s">
        <v>859</v>
      </c>
      <c r="C2" s="428">
        <v>5000</v>
      </c>
      <c r="D2" s="429" t="s">
        <v>1136</v>
      </c>
    </row>
    <row r="3" spans="1:7" ht="15.75" thickBot="1" x14ac:dyDescent="0.3">
      <c r="A3" s="376">
        <v>5002</v>
      </c>
      <c r="B3" s="436" t="s">
        <v>860</v>
      </c>
      <c r="C3" s="428">
        <v>6000</v>
      </c>
      <c r="D3" s="429" t="s">
        <v>1136</v>
      </c>
    </row>
    <row r="4" spans="1:7" ht="15.75" thickBot="1" x14ac:dyDescent="0.3">
      <c r="A4" s="376">
        <v>5003</v>
      </c>
      <c r="B4" s="436" t="s">
        <v>861</v>
      </c>
      <c r="C4" s="428">
        <v>2000</v>
      </c>
      <c r="D4" s="429" t="s">
        <v>1136</v>
      </c>
    </row>
    <row r="5" spans="1:7" ht="15.75" thickBot="1" x14ac:dyDescent="0.3">
      <c r="A5" s="376">
        <v>5004</v>
      </c>
      <c r="B5" s="436" t="s">
        <v>862</v>
      </c>
      <c r="C5" s="428">
        <v>6000</v>
      </c>
      <c r="D5" s="429" t="s">
        <v>1136</v>
      </c>
    </row>
    <row r="6" spans="1:7" ht="15.75" thickBot="1" x14ac:dyDescent="0.3">
      <c r="A6" s="376">
        <v>5005</v>
      </c>
      <c r="B6" s="436" t="s">
        <v>863</v>
      </c>
      <c r="C6" s="428">
        <v>4000</v>
      </c>
      <c r="D6" s="429" t="s">
        <v>1136</v>
      </c>
    </row>
    <row r="7" spans="1:7" ht="15.75" thickBot="1" x14ac:dyDescent="0.3">
      <c r="A7" s="376">
        <v>5006</v>
      </c>
      <c r="B7" s="436" t="s">
        <v>1149</v>
      </c>
      <c r="C7" s="428">
        <v>8500</v>
      </c>
      <c r="D7" s="429" t="s">
        <v>1136</v>
      </c>
    </row>
    <row r="8" spans="1:7" ht="15.75" thickBot="1" x14ac:dyDescent="0.3">
      <c r="A8" s="376">
        <v>5007</v>
      </c>
      <c r="B8" s="436" t="s">
        <v>1150</v>
      </c>
      <c r="C8" s="428">
        <v>5500</v>
      </c>
      <c r="D8" s="429" t="s">
        <v>1136</v>
      </c>
    </row>
    <row r="9" spans="1:7" ht="15.75" thickBot="1" x14ac:dyDescent="0.3">
      <c r="A9" s="376">
        <v>5008</v>
      </c>
      <c r="B9" s="436" t="s">
        <v>864</v>
      </c>
      <c r="C9" s="428">
        <v>35000</v>
      </c>
      <c r="D9" s="429" t="s">
        <v>1136</v>
      </c>
    </row>
    <row r="10" spans="1:7" ht="15.75" thickBot="1" x14ac:dyDescent="0.3">
      <c r="A10" s="376">
        <v>5009</v>
      </c>
      <c r="B10" s="436" t="s">
        <v>865</v>
      </c>
      <c r="C10" s="428">
        <v>40000</v>
      </c>
      <c r="D10" s="429" t="s">
        <v>1136</v>
      </c>
    </row>
    <row r="11" spans="1:7" ht="15.75" thickBot="1" x14ac:dyDescent="0.3">
      <c r="A11" s="376">
        <v>5010</v>
      </c>
      <c r="B11" s="436" t="s">
        <v>866</v>
      </c>
      <c r="C11" s="428">
        <v>30000</v>
      </c>
      <c r="D11" s="429" t="s">
        <v>1136</v>
      </c>
    </row>
    <row r="12" spans="1:7" ht="15.75" thickBot="1" x14ac:dyDescent="0.3">
      <c r="A12" s="376">
        <v>5011</v>
      </c>
      <c r="B12" s="436" t="s">
        <v>867</v>
      </c>
      <c r="C12" s="428">
        <v>35000</v>
      </c>
      <c r="D12" s="429" t="s">
        <v>1136</v>
      </c>
      <c r="G12" s="266"/>
    </row>
    <row r="13" spans="1:7" ht="15.75" thickBot="1" x14ac:dyDescent="0.3">
      <c r="A13" s="376">
        <v>5012</v>
      </c>
      <c r="B13" s="436" t="s">
        <v>868</v>
      </c>
      <c r="C13" s="428">
        <v>70000</v>
      </c>
      <c r="D13" s="429" t="s">
        <v>1136</v>
      </c>
    </row>
    <row r="14" spans="1:7" ht="15.75" thickBot="1" x14ac:dyDescent="0.3">
      <c r="A14" s="376">
        <v>5013</v>
      </c>
      <c r="B14" s="436" t="s">
        <v>869</v>
      </c>
      <c r="C14" s="428">
        <v>80000</v>
      </c>
      <c r="D14" s="429" t="s">
        <v>1136</v>
      </c>
    </row>
    <row r="15" spans="1:7" ht="15.75" thickBot="1" x14ac:dyDescent="0.3">
      <c r="A15" s="376">
        <v>5014</v>
      </c>
      <c r="B15" s="436" t="s">
        <v>870</v>
      </c>
      <c r="C15" s="428">
        <v>85000</v>
      </c>
      <c r="D15" s="429" t="s">
        <v>1136</v>
      </c>
    </row>
    <row r="16" spans="1:7" ht="15.75" thickBot="1" x14ac:dyDescent="0.3">
      <c r="A16" s="376">
        <v>5015</v>
      </c>
      <c r="B16" s="436" t="s">
        <v>871</v>
      </c>
      <c r="C16" s="428">
        <v>66000</v>
      </c>
      <c r="D16" s="429" t="s">
        <v>1136</v>
      </c>
    </row>
    <row r="17" spans="1:4" ht="15.75" thickBot="1" x14ac:dyDescent="0.3">
      <c r="A17" s="376">
        <v>5016</v>
      </c>
      <c r="B17" s="436" t="s">
        <v>872</v>
      </c>
      <c r="C17" s="428">
        <v>25000</v>
      </c>
      <c r="D17" s="429" t="s">
        <v>1136</v>
      </c>
    </row>
    <row r="18" spans="1:4" ht="15.75" thickBot="1" x14ac:dyDescent="0.3">
      <c r="A18" s="376">
        <v>5017</v>
      </c>
      <c r="B18" s="436" t="s">
        <v>873</v>
      </c>
      <c r="C18" s="428">
        <v>40</v>
      </c>
      <c r="D18" s="429" t="s">
        <v>1136</v>
      </c>
    </row>
    <row r="19" spans="1:4" ht="15.75" thickBot="1" x14ac:dyDescent="0.3">
      <c r="A19" s="376">
        <v>5018</v>
      </c>
      <c r="B19" s="436" t="s">
        <v>874</v>
      </c>
      <c r="C19" s="428">
        <v>10000</v>
      </c>
      <c r="D19" s="429" t="s">
        <v>1136</v>
      </c>
    </row>
    <row r="20" spans="1:4" ht="15.75" thickBot="1" x14ac:dyDescent="0.3">
      <c r="A20" s="376">
        <v>5019</v>
      </c>
      <c r="B20" s="436" t="s">
        <v>875</v>
      </c>
      <c r="C20" s="428">
        <v>20000</v>
      </c>
      <c r="D20" s="429" t="s">
        <v>1136</v>
      </c>
    </row>
    <row r="21" spans="1:4" ht="15.75" thickBot="1" x14ac:dyDescent="0.3">
      <c r="A21" s="376">
        <v>5020</v>
      </c>
      <c r="B21" s="436" t="s">
        <v>876</v>
      </c>
      <c r="C21" s="428">
        <v>100</v>
      </c>
      <c r="D21" s="429" t="s">
        <v>1136</v>
      </c>
    </row>
    <row r="22" spans="1:4" ht="15.75" thickBot="1" x14ac:dyDescent="0.3">
      <c r="A22" s="376">
        <v>5021</v>
      </c>
      <c r="B22" s="436" t="s">
        <v>877</v>
      </c>
      <c r="C22" s="428">
        <v>100</v>
      </c>
      <c r="D22" s="429" t="s">
        <v>1136</v>
      </c>
    </row>
    <row r="23" spans="1:4" ht="15.75" thickBot="1" x14ac:dyDescent="0.3">
      <c r="A23" s="376">
        <v>5022</v>
      </c>
      <c r="B23" s="436" t="s">
        <v>878</v>
      </c>
      <c r="C23" s="415">
        <v>350000</v>
      </c>
      <c r="D23" s="429" t="s">
        <v>1136</v>
      </c>
    </row>
    <row r="24" spans="1:4" ht="15.75" thickBot="1" x14ac:dyDescent="0.3">
      <c r="A24" s="376">
        <v>5023</v>
      </c>
      <c r="B24" s="436" t="s">
        <v>879</v>
      </c>
      <c r="C24" s="415">
        <v>3000</v>
      </c>
      <c r="D24" s="429" t="s">
        <v>1136</v>
      </c>
    </row>
    <row r="25" spans="1:4" ht="15.75" thickBot="1" x14ac:dyDescent="0.3">
      <c r="A25" s="376">
        <v>5024</v>
      </c>
      <c r="B25" s="436" t="s">
        <v>880</v>
      </c>
      <c r="C25" s="415">
        <v>5000</v>
      </c>
      <c r="D25" s="429" t="s">
        <v>1136</v>
      </c>
    </row>
    <row r="26" spans="1:4" ht="15.75" thickBot="1" x14ac:dyDescent="0.3">
      <c r="A26" s="376">
        <v>5025</v>
      </c>
      <c r="B26" s="436" t="s">
        <v>881</v>
      </c>
      <c r="C26" s="415">
        <v>15000</v>
      </c>
      <c r="D26" s="429" t="s">
        <v>1136</v>
      </c>
    </row>
    <row r="27" spans="1:4" ht="15.75" thickBot="1" x14ac:dyDescent="0.3">
      <c r="A27" s="376">
        <v>5026</v>
      </c>
      <c r="B27" s="436" t="s">
        <v>882</v>
      </c>
      <c r="C27" s="415">
        <v>1000</v>
      </c>
      <c r="D27" s="429" t="s">
        <v>1136</v>
      </c>
    </row>
    <row r="28" spans="1:4" ht="15.75" thickBot="1" x14ac:dyDescent="0.3">
      <c r="A28" s="376">
        <v>5027</v>
      </c>
      <c r="B28" s="436" t="s">
        <v>883</v>
      </c>
      <c r="C28" s="415">
        <v>5000</v>
      </c>
      <c r="D28" s="429" t="s">
        <v>1136</v>
      </c>
    </row>
    <row r="29" spans="1:4" ht="15.75" thickBot="1" x14ac:dyDescent="0.3">
      <c r="A29" s="376">
        <v>5028</v>
      </c>
      <c r="B29" s="436" t="s">
        <v>884</v>
      </c>
      <c r="C29" s="415">
        <v>7000</v>
      </c>
      <c r="D29" s="429" t="s">
        <v>1136</v>
      </c>
    </row>
    <row r="30" spans="1:4" ht="15.75" thickBot="1" x14ac:dyDescent="0.3">
      <c r="A30" s="376">
        <v>5029</v>
      </c>
      <c r="B30" s="436" t="s">
        <v>885</v>
      </c>
      <c r="C30" s="415">
        <v>3500</v>
      </c>
      <c r="D30" s="429" t="s">
        <v>1136</v>
      </c>
    </row>
    <row r="31" spans="1:4" ht="15.75" thickBot="1" x14ac:dyDescent="0.3">
      <c r="A31" s="376">
        <v>5030</v>
      </c>
      <c r="B31" s="436" t="s">
        <v>886</v>
      </c>
      <c r="C31" s="415">
        <v>1500</v>
      </c>
      <c r="D31" s="429" t="s">
        <v>1136</v>
      </c>
    </row>
    <row r="32" spans="1:4" ht="15.75" thickBot="1" x14ac:dyDescent="0.3">
      <c r="A32" s="376">
        <v>5031</v>
      </c>
      <c r="B32" s="436" t="s">
        <v>887</v>
      </c>
      <c r="C32" s="415">
        <v>3500</v>
      </c>
      <c r="D32" s="429" t="s">
        <v>1136</v>
      </c>
    </row>
    <row r="33" spans="1:4" ht="15.75" thickBot="1" x14ac:dyDescent="0.3">
      <c r="A33" s="376">
        <v>5032</v>
      </c>
      <c r="B33" s="436" t="s">
        <v>888</v>
      </c>
      <c r="C33" s="415">
        <v>5000</v>
      </c>
      <c r="D33" s="429" t="s">
        <v>1136</v>
      </c>
    </row>
    <row r="34" spans="1:4" ht="15.75" thickBot="1" x14ac:dyDescent="0.3">
      <c r="A34" s="376">
        <v>5033</v>
      </c>
      <c r="B34" s="436" t="s">
        <v>889</v>
      </c>
      <c r="C34" s="415">
        <v>15000</v>
      </c>
      <c r="D34" s="429" t="s">
        <v>1136</v>
      </c>
    </row>
    <row r="35" spans="1:4" ht="15.75" thickBot="1" x14ac:dyDescent="0.3">
      <c r="A35" s="376">
        <v>5034</v>
      </c>
      <c r="B35" s="436" t="s">
        <v>890</v>
      </c>
      <c r="C35" s="415">
        <v>1500</v>
      </c>
      <c r="D35" s="429" t="s">
        <v>1136</v>
      </c>
    </row>
    <row r="36" spans="1:4" ht="15.75" thickBot="1" x14ac:dyDescent="0.3">
      <c r="A36" s="376">
        <v>5035</v>
      </c>
      <c r="B36" s="436" t="s">
        <v>891</v>
      </c>
      <c r="C36" s="415">
        <v>1500</v>
      </c>
      <c r="D36" s="429" t="s">
        <v>1136</v>
      </c>
    </row>
    <row r="37" spans="1:4" ht="15.75" thickBot="1" x14ac:dyDescent="0.3">
      <c r="A37" s="376">
        <v>5036</v>
      </c>
      <c r="B37" s="436" t="s">
        <v>892</v>
      </c>
      <c r="C37" s="415">
        <v>1500</v>
      </c>
      <c r="D37" s="429" t="s">
        <v>1136</v>
      </c>
    </row>
    <row r="38" spans="1:4" ht="15.75" thickBot="1" x14ac:dyDescent="0.3">
      <c r="A38" s="376">
        <v>5037</v>
      </c>
      <c r="B38" s="436" t="s">
        <v>1151</v>
      </c>
      <c r="C38" s="415">
        <v>13000</v>
      </c>
      <c r="D38" s="429" t="s">
        <v>1136</v>
      </c>
    </row>
    <row r="39" spans="1:4" ht="15.75" thickBot="1" x14ac:dyDescent="0.3">
      <c r="A39" s="376">
        <v>5038</v>
      </c>
      <c r="B39" s="436" t="s">
        <v>893</v>
      </c>
      <c r="C39" s="415">
        <v>1000</v>
      </c>
      <c r="D39" s="429" t="s">
        <v>1136</v>
      </c>
    </row>
    <row r="40" spans="1:4" ht="15.75" thickBot="1" x14ac:dyDescent="0.3">
      <c r="A40" s="376">
        <v>5039</v>
      </c>
      <c r="B40" s="436" t="s">
        <v>894</v>
      </c>
      <c r="C40" s="415">
        <v>25000</v>
      </c>
      <c r="D40" s="429" t="s">
        <v>1136</v>
      </c>
    </row>
    <row r="41" spans="1:4" ht="15.75" thickBot="1" x14ac:dyDescent="0.3">
      <c r="A41" s="376">
        <v>5040</v>
      </c>
      <c r="B41" s="436" t="s">
        <v>895</v>
      </c>
      <c r="C41" s="415">
        <v>60000</v>
      </c>
      <c r="D41" s="429" t="s">
        <v>1136</v>
      </c>
    </row>
    <row r="42" spans="1:4" ht="15.75" thickBot="1" x14ac:dyDescent="0.3">
      <c r="A42" s="376">
        <v>5041</v>
      </c>
      <c r="B42" s="436" t="s">
        <v>896</v>
      </c>
      <c r="C42" s="415">
        <v>50000</v>
      </c>
      <c r="D42" s="429" t="s">
        <v>1136</v>
      </c>
    </row>
    <row r="43" spans="1:4" ht="15.75" thickBot="1" x14ac:dyDescent="0.3">
      <c r="A43" s="376">
        <v>5042</v>
      </c>
      <c r="B43" s="436" t="s">
        <v>897</v>
      </c>
      <c r="C43" s="415">
        <v>6000</v>
      </c>
      <c r="D43" s="429" t="s">
        <v>1136</v>
      </c>
    </row>
    <row r="44" spans="1:4" ht="15.75" thickBot="1" x14ac:dyDescent="0.3">
      <c r="A44" s="376">
        <v>5043</v>
      </c>
      <c r="B44" s="436" t="s">
        <v>898</v>
      </c>
      <c r="C44" s="415">
        <v>6500</v>
      </c>
      <c r="D44" s="429" t="s">
        <v>1136</v>
      </c>
    </row>
    <row r="45" spans="1:4" ht="15.75" thickBot="1" x14ac:dyDescent="0.3">
      <c r="A45" s="376">
        <v>5044</v>
      </c>
      <c r="B45" s="436" t="s">
        <v>899</v>
      </c>
      <c r="C45" s="415">
        <v>7500</v>
      </c>
      <c r="D45" s="429" t="s">
        <v>1136</v>
      </c>
    </row>
    <row r="46" spans="1:4" ht="15.75" thickBot="1" x14ac:dyDescent="0.3">
      <c r="A46" s="376">
        <v>5045</v>
      </c>
      <c r="B46" s="436" t="s">
        <v>900</v>
      </c>
      <c r="C46" s="415">
        <v>21000</v>
      </c>
      <c r="D46" s="429" t="s">
        <v>1136</v>
      </c>
    </row>
    <row r="47" spans="1:4" ht="15.75" thickBot="1" x14ac:dyDescent="0.3">
      <c r="A47" s="376">
        <v>5046</v>
      </c>
      <c r="B47" s="436" t="s">
        <v>901</v>
      </c>
      <c r="C47" s="415">
        <v>11000</v>
      </c>
      <c r="D47" s="429" t="s">
        <v>1136</v>
      </c>
    </row>
    <row r="48" spans="1:4" ht="15.75" thickBot="1" x14ac:dyDescent="0.3">
      <c r="A48" s="376">
        <v>5047</v>
      </c>
      <c r="B48" s="436" t="s">
        <v>902</v>
      </c>
      <c r="C48" s="415">
        <v>20500</v>
      </c>
      <c r="D48" s="429" t="s">
        <v>1136</v>
      </c>
    </row>
    <row r="49" spans="1:4" ht="15.75" thickBot="1" x14ac:dyDescent="0.3">
      <c r="A49" s="376">
        <v>5048</v>
      </c>
      <c r="B49" s="436" t="s">
        <v>903</v>
      </c>
      <c r="C49" s="415">
        <v>17500</v>
      </c>
      <c r="D49" s="429" t="s">
        <v>1136</v>
      </c>
    </row>
    <row r="50" spans="1:4" ht="15.75" thickBot="1" x14ac:dyDescent="0.3">
      <c r="A50" s="376">
        <v>5049</v>
      </c>
      <c r="B50" s="436" t="s">
        <v>793</v>
      </c>
      <c r="C50" s="415">
        <v>45000</v>
      </c>
      <c r="D50" s="429" t="s">
        <v>1136</v>
      </c>
    </row>
    <row r="51" spans="1:4" ht="15.75" thickBot="1" x14ac:dyDescent="0.3">
      <c r="A51" s="376">
        <v>5050</v>
      </c>
      <c r="B51" s="436" t="s">
        <v>904</v>
      </c>
      <c r="C51" s="415">
        <v>12000</v>
      </c>
      <c r="D51" s="429" t="s">
        <v>1136</v>
      </c>
    </row>
    <row r="52" spans="1:4" ht="15.75" thickBot="1" x14ac:dyDescent="0.3">
      <c r="A52" s="376">
        <v>5051</v>
      </c>
      <c r="B52" s="436" t="s">
        <v>905</v>
      </c>
      <c r="C52" s="415">
        <v>10000</v>
      </c>
      <c r="D52" s="429" t="s">
        <v>1136</v>
      </c>
    </row>
    <row r="53" spans="1:4" ht="15.75" thickBot="1" x14ac:dyDescent="0.3">
      <c r="A53" s="376">
        <v>5052</v>
      </c>
      <c r="B53" s="436" t="s">
        <v>906</v>
      </c>
      <c r="C53" s="415">
        <v>20000</v>
      </c>
      <c r="D53" s="429" t="s">
        <v>1136</v>
      </c>
    </row>
    <row r="54" spans="1:4" ht="15.75" thickBot="1" x14ac:dyDescent="0.3">
      <c r="A54" s="376">
        <v>5053</v>
      </c>
      <c r="B54" s="436" t="s">
        <v>1152</v>
      </c>
      <c r="C54" s="415">
        <v>50000</v>
      </c>
      <c r="D54" s="429" t="s">
        <v>1136</v>
      </c>
    </row>
    <row r="55" spans="1:4" ht="15.75" thickBot="1" x14ac:dyDescent="0.3">
      <c r="A55" s="376">
        <v>5054</v>
      </c>
      <c r="B55" s="436" t="s">
        <v>907</v>
      </c>
      <c r="C55" s="415">
        <v>150000</v>
      </c>
      <c r="D55" s="429" t="s">
        <v>1136</v>
      </c>
    </row>
    <row r="56" spans="1:4" ht="15.75" thickBot="1" x14ac:dyDescent="0.3">
      <c r="A56" s="376">
        <v>5055</v>
      </c>
      <c r="B56" s="436" t="s">
        <v>1153</v>
      </c>
      <c r="C56" s="415">
        <v>10000</v>
      </c>
      <c r="D56" s="429" t="s">
        <v>1136</v>
      </c>
    </row>
    <row r="57" spans="1:4" ht="15.75" thickBot="1" x14ac:dyDescent="0.3">
      <c r="A57" s="376">
        <v>5056</v>
      </c>
      <c r="B57" s="436" t="s">
        <v>1154</v>
      </c>
      <c r="C57" s="415">
        <v>8000</v>
      </c>
      <c r="D57" s="429" t="s">
        <v>1136</v>
      </c>
    </row>
    <row r="58" spans="1:4" ht="15.75" thickBot="1" x14ac:dyDescent="0.3">
      <c r="A58" s="376">
        <v>5057</v>
      </c>
      <c r="B58" s="436" t="s">
        <v>1155</v>
      </c>
      <c r="C58" s="415">
        <v>7000</v>
      </c>
      <c r="D58" s="429" t="s">
        <v>1136</v>
      </c>
    </row>
    <row r="59" spans="1:4" ht="15.75" thickBot="1" x14ac:dyDescent="0.3">
      <c r="A59" s="376">
        <v>5058</v>
      </c>
      <c r="B59" s="436" t="s">
        <v>908</v>
      </c>
      <c r="C59" s="415">
        <v>18000</v>
      </c>
      <c r="D59" s="429" t="s">
        <v>1136</v>
      </c>
    </row>
    <row r="60" spans="1:4" ht="15.75" thickBot="1" x14ac:dyDescent="0.3">
      <c r="A60" s="376">
        <v>5059</v>
      </c>
      <c r="B60" s="436" t="s">
        <v>1156</v>
      </c>
      <c r="C60" s="415">
        <v>18000</v>
      </c>
      <c r="D60" s="429" t="s">
        <v>1136</v>
      </c>
    </row>
    <row r="61" spans="1:4" ht="15.75" thickBot="1" x14ac:dyDescent="0.3">
      <c r="A61" s="376">
        <v>5060</v>
      </c>
      <c r="B61" s="436" t="s">
        <v>909</v>
      </c>
      <c r="C61" s="415">
        <v>70000</v>
      </c>
      <c r="D61" s="429" t="s">
        <v>1136</v>
      </c>
    </row>
    <row r="62" spans="1:4" ht="15.75" thickBot="1" x14ac:dyDescent="0.3">
      <c r="A62" s="376">
        <v>5061</v>
      </c>
      <c r="B62" s="436" t="s">
        <v>910</v>
      </c>
      <c r="C62" s="415">
        <v>40000</v>
      </c>
      <c r="D62" s="429" t="s">
        <v>1136</v>
      </c>
    </row>
    <row r="63" spans="1:4" ht="15.75" thickBot="1" x14ac:dyDescent="0.3">
      <c r="A63" s="376">
        <v>5062</v>
      </c>
      <c r="B63" s="436" t="s">
        <v>1159</v>
      </c>
      <c r="C63" s="428">
        <f>3*1150</f>
        <v>3450</v>
      </c>
      <c r="D63" s="429" t="s">
        <v>1136</v>
      </c>
    </row>
    <row r="64" spans="1:4" ht="15.75" thickBot="1" x14ac:dyDescent="0.3">
      <c r="A64" s="376">
        <v>5063</v>
      </c>
      <c r="B64" s="436" t="s">
        <v>1160</v>
      </c>
      <c r="C64" s="428">
        <f>1150*4</f>
        <v>4600</v>
      </c>
      <c r="D64" s="429" t="s">
        <v>1136</v>
      </c>
    </row>
    <row r="65" spans="1:4" ht="15.75" thickBot="1" x14ac:dyDescent="0.3">
      <c r="A65" s="580">
        <v>5064</v>
      </c>
      <c r="B65" s="436" t="s">
        <v>1161</v>
      </c>
      <c r="C65" s="428">
        <f>1150*4</f>
        <v>4600</v>
      </c>
      <c r="D65" s="429" t="s">
        <v>1136</v>
      </c>
    </row>
    <row r="66" spans="1:4" ht="15.75" thickBot="1" x14ac:dyDescent="0.3">
      <c r="A66" s="376">
        <v>5065</v>
      </c>
      <c r="B66" s="436" t="s">
        <v>1162</v>
      </c>
      <c r="C66" s="428">
        <f>1150*4</f>
        <v>4600</v>
      </c>
      <c r="D66" s="429" t="s">
        <v>1136</v>
      </c>
    </row>
    <row r="67" spans="1:4" ht="15.75" thickBot="1" x14ac:dyDescent="0.3">
      <c r="A67" s="376">
        <v>5066</v>
      </c>
      <c r="B67" s="436" t="s">
        <v>1163</v>
      </c>
      <c r="C67" s="428">
        <f t="shared" ref="C67:C90" si="0">4*1150</f>
        <v>4600</v>
      </c>
      <c r="D67" s="429" t="s">
        <v>1136</v>
      </c>
    </row>
    <row r="68" spans="1:4" ht="15.75" thickBot="1" x14ac:dyDescent="0.3">
      <c r="A68" s="580">
        <v>5067</v>
      </c>
      <c r="B68" s="436" t="s">
        <v>1164</v>
      </c>
      <c r="C68" s="428">
        <f t="shared" si="0"/>
        <v>4600</v>
      </c>
      <c r="D68" s="429" t="s">
        <v>1136</v>
      </c>
    </row>
    <row r="69" spans="1:4" ht="15.75" thickBot="1" x14ac:dyDescent="0.3">
      <c r="A69" s="376">
        <v>5068</v>
      </c>
      <c r="B69" s="436" t="s">
        <v>1165</v>
      </c>
      <c r="C69" s="428">
        <f t="shared" si="0"/>
        <v>4600</v>
      </c>
      <c r="D69" s="429" t="s">
        <v>1136</v>
      </c>
    </row>
    <row r="70" spans="1:4" ht="15.75" thickBot="1" x14ac:dyDescent="0.3">
      <c r="A70" s="376">
        <v>5069</v>
      </c>
      <c r="B70" s="436" t="s">
        <v>1166</v>
      </c>
      <c r="C70" s="428">
        <f t="shared" si="0"/>
        <v>4600</v>
      </c>
      <c r="D70" s="429" t="s">
        <v>1136</v>
      </c>
    </row>
    <row r="71" spans="1:4" ht="15.75" thickBot="1" x14ac:dyDescent="0.3">
      <c r="A71" s="580">
        <v>5070</v>
      </c>
      <c r="B71" s="436" t="s">
        <v>1167</v>
      </c>
      <c r="C71" s="428">
        <f t="shared" si="0"/>
        <v>4600</v>
      </c>
      <c r="D71" s="429" t="s">
        <v>1136</v>
      </c>
    </row>
    <row r="72" spans="1:4" ht="15.75" thickBot="1" x14ac:dyDescent="0.3">
      <c r="A72" s="376">
        <v>5071</v>
      </c>
      <c r="B72" s="436" t="s">
        <v>1168</v>
      </c>
      <c r="C72" s="428">
        <f t="shared" si="0"/>
        <v>4600</v>
      </c>
      <c r="D72" s="429" t="s">
        <v>1136</v>
      </c>
    </row>
    <row r="73" spans="1:4" ht="15.75" thickBot="1" x14ac:dyDescent="0.3">
      <c r="A73" s="376">
        <v>5072</v>
      </c>
      <c r="B73" s="436" t="s">
        <v>1169</v>
      </c>
      <c r="C73" s="428">
        <f t="shared" si="0"/>
        <v>4600</v>
      </c>
      <c r="D73" s="429" t="s">
        <v>1136</v>
      </c>
    </row>
    <row r="74" spans="1:4" ht="15.75" thickBot="1" x14ac:dyDescent="0.3">
      <c r="A74" s="580">
        <v>5073</v>
      </c>
      <c r="B74" s="436" t="s">
        <v>1170</v>
      </c>
      <c r="C74" s="428">
        <f t="shared" si="0"/>
        <v>4600</v>
      </c>
      <c r="D74" s="429" t="s">
        <v>1136</v>
      </c>
    </row>
    <row r="75" spans="1:4" ht="15.75" thickBot="1" x14ac:dyDescent="0.3">
      <c r="A75" s="376">
        <v>5074</v>
      </c>
      <c r="B75" s="436" t="s">
        <v>1171</v>
      </c>
      <c r="C75" s="428">
        <f t="shared" si="0"/>
        <v>4600</v>
      </c>
      <c r="D75" s="429" t="s">
        <v>1136</v>
      </c>
    </row>
    <row r="76" spans="1:4" ht="15.75" thickBot="1" x14ac:dyDescent="0.3">
      <c r="A76" s="376">
        <v>5075</v>
      </c>
      <c r="B76" s="436" t="s">
        <v>1172</v>
      </c>
      <c r="C76" s="428">
        <f t="shared" si="0"/>
        <v>4600</v>
      </c>
      <c r="D76" s="429" t="s">
        <v>1136</v>
      </c>
    </row>
    <row r="77" spans="1:4" ht="15.75" thickBot="1" x14ac:dyDescent="0.3">
      <c r="A77" s="580">
        <v>5076</v>
      </c>
      <c r="B77" s="436" t="s">
        <v>1173</v>
      </c>
      <c r="C77" s="428">
        <f t="shared" si="0"/>
        <v>4600</v>
      </c>
      <c r="D77" s="429" t="s">
        <v>1136</v>
      </c>
    </row>
    <row r="78" spans="1:4" ht="15.75" thickBot="1" x14ac:dyDescent="0.3">
      <c r="A78" s="376">
        <v>5077</v>
      </c>
      <c r="B78" s="436" t="s">
        <v>1174</v>
      </c>
      <c r="C78" s="428">
        <f t="shared" si="0"/>
        <v>4600</v>
      </c>
      <c r="D78" s="429" t="s">
        <v>1136</v>
      </c>
    </row>
    <row r="79" spans="1:4" ht="15.75" thickBot="1" x14ac:dyDescent="0.3">
      <c r="A79" s="376">
        <v>5078</v>
      </c>
      <c r="B79" s="436" t="s">
        <v>1175</v>
      </c>
      <c r="C79" s="428">
        <f t="shared" si="0"/>
        <v>4600</v>
      </c>
      <c r="D79" s="429" t="s">
        <v>1136</v>
      </c>
    </row>
    <row r="80" spans="1:4" ht="15.75" thickBot="1" x14ac:dyDescent="0.3">
      <c r="A80" s="580">
        <v>5079</v>
      </c>
      <c r="B80" s="436" t="s">
        <v>1176</v>
      </c>
      <c r="C80" s="428">
        <f t="shared" si="0"/>
        <v>4600</v>
      </c>
      <c r="D80" s="429" t="s">
        <v>1136</v>
      </c>
    </row>
    <row r="81" spans="1:4" ht="15.75" thickBot="1" x14ac:dyDescent="0.3">
      <c r="A81" s="376">
        <v>5080</v>
      </c>
      <c r="B81" s="436" t="s">
        <v>1177</v>
      </c>
      <c r="C81" s="428">
        <f t="shared" si="0"/>
        <v>4600</v>
      </c>
      <c r="D81" s="429" t="s">
        <v>1136</v>
      </c>
    </row>
    <row r="82" spans="1:4" ht="15.75" thickBot="1" x14ac:dyDescent="0.3">
      <c r="A82" s="376">
        <v>5081</v>
      </c>
      <c r="B82" s="436" t="s">
        <v>1178</v>
      </c>
      <c r="C82" s="428">
        <f t="shared" si="0"/>
        <v>4600</v>
      </c>
      <c r="D82" s="429" t="s">
        <v>1136</v>
      </c>
    </row>
    <row r="83" spans="1:4" ht="15.75" thickBot="1" x14ac:dyDescent="0.3">
      <c r="A83" s="580">
        <v>5082</v>
      </c>
      <c r="B83" s="436" t="s">
        <v>1179</v>
      </c>
      <c r="C83" s="428">
        <f t="shared" si="0"/>
        <v>4600</v>
      </c>
      <c r="D83" s="429" t="s">
        <v>1136</v>
      </c>
    </row>
    <row r="84" spans="1:4" ht="15.75" thickBot="1" x14ac:dyDescent="0.3">
      <c r="A84" s="376">
        <v>5083</v>
      </c>
      <c r="B84" s="436" t="s">
        <v>1180</v>
      </c>
      <c r="C84" s="428">
        <f t="shared" si="0"/>
        <v>4600</v>
      </c>
      <c r="D84" s="429" t="s">
        <v>1136</v>
      </c>
    </row>
    <row r="85" spans="1:4" ht="15.75" thickBot="1" x14ac:dyDescent="0.3">
      <c r="A85" s="376">
        <v>5084</v>
      </c>
      <c r="B85" s="436" t="s">
        <v>1181</v>
      </c>
      <c r="C85" s="428">
        <f t="shared" si="0"/>
        <v>4600</v>
      </c>
      <c r="D85" s="429" t="s">
        <v>1136</v>
      </c>
    </row>
    <row r="86" spans="1:4" ht="15.75" thickBot="1" x14ac:dyDescent="0.3">
      <c r="A86" s="580">
        <v>5085</v>
      </c>
      <c r="B86" s="436" t="s">
        <v>1182</v>
      </c>
      <c r="C86" s="428">
        <f t="shared" si="0"/>
        <v>4600</v>
      </c>
      <c r="D86" s="429" t="s">
        <v>1136</v>
      </c>
    </row>
    <row r="87" spans="1:4" ht="15.75" thickBot="1" x14ac:dyDescent="0.3">
      <c r="A87" s="376">
        <v>5086</v>
      </c>
      <c r="B87" s="436" t="s">
        <v>1183</v>
      </c>
      <c r="C87" s="428">
        <f t="shared" si="0"/>
        <v>4600</v>
      </c>
      <c r="D87" s="429" t="s">
        <v>1136</v>
      </c>
    </row>
    <row r="88" spans="1:4" ht="15.75" thickBot="1" x14ac:dyDescent="0.3">
      <c r="A88" s="376">
        <v>5087</v>
      </c>
      <c r="B88" s="436" t="s">
        <v>1184</v>
      </c>
      <c r="C88" s="428">
        <f t="shared" si="0"/>
        <v>4600</v>
      </c>
      <c r="D88" s="429" t="s">
        <v>1136</v>
      </c>
    </row>
    <row r="89" spans="1:4" ht="15.75" thickBot="1" x14ac:dyDescent="0.3">
      <c r="A89" s="580">
        <v>5088</v>
      </c>
      <c r="B89" s="436" t="s">
        <v>1185</v>
      </c>
      <c r="C89" s="428">
        <f t="shared" si="0"/>
        <v>4600</v>
      </c>
      <c r="D89" s="429" t="s">
        <v>1136</v>
      </c>
    </row>
    <row r="90" spans="1:4" ht="15.75" thickBot="1" x14ac:dyDescent="0.3">
      <c r="A90" s="376">
        <v>5089</v>
      </c>
      <c r="B90" s="436" t="s">
        <v>1186</v>
      </c>
      <c r="C90" s="428">
        <f t="shared" si="0"/>
        <v>4600</v>
      </c>
      <c r="D90" s="429" t="s">
        <v>1136</v>
      </c>
    </row>
    <row r="91" spans="1:4" ht="15.75" thickBot="1" x14ac:dyDescent="0.3">
      <c r="A91" s="376">
        <v>5090</v>
      </c>
      <c r="B91" s="436" t="s">
        <v>1187</v>
      </c>
      <c r="C91" s="428">
        <v>320</v>
      </c>
      <c r="D91" s="429" t="s">
        <v>1136</v>
      </c>
    </row>
    <row r="92" spans="1:4" ht="15.75" thickBot="1" x14ac:dyDescent="0.3">
      <c r="A92" s="580">
        <v>5091</v>
      </c>
      <c r="B92" s="436" t="s">
        <v>1188</v>
      </c>
      <c r="C92" s="428">
        <v>320</v>
      </c>
      <c r="D92" s="429" t="s">
        <v>1136</v>
      </c>
    </row>
    <row r="93" spans="1:4" ht="15.75" thickBot="1" x14ac:dyDescent="0.3">
      <c r="A93" s="376">
        <v>5092</v>
      </c>
      <c r="B93" s="436" t="s">
        <v>1189</v>
      </c>
      <c r="C93" s="428">
        <v>18000</v>
      </c>
      <c r="D93" s="429" t="s">
        <v>1136</v>
      </c>
    </row>
    <row r="94" spans="1:4" ht="15.75" thickBot="1" x14ac:dyDescent="0.3">
      <c r="A94" s="376">
        <v>5093</v>
      </c>
      <c r="B94" s="437" t="s">
        <v>1190</v>
      </c>
      <c r="C94" s="430">
        <v>320</v>
      </c>
      <c r="D94" s="431" t="s">
        <v>1136</v>
      </c>
    </row>
    <row r="95" spans="1:4" x14ac:dyDescent="0.25">
      <c r="A95" s="432"/>
      <c r="B95" s="432" t="s">
        <v>150</v>
      </c>
      <c r="C95" s="433">
        <f>+SUM(C2:C94)</f>
        <v>1795850</v>
      </c>
      <c r="D95" s="434"/>
    </row>
    <row r="96" spans="1:4" x14ac:dyDescent="0.25">
      <c r="A96" s="188"/>
      <c r="B96" s="286"/>
      <c r="C96" s="287"/>
      <c r="D96" s="199"/>
    </row>
    <row r="97" spans="1:4" x14ac:dyDescent="0.25">
      <c r="A97" s="188"/>
      <c r="B97" s="286"/>
      <c r="C97" s="287"/>
      <c r="D97" s="199"/>
    </row>
    <row r="98" spans="1:4" x14ac:dyDescent="0.25">
      <c r="A98" s="188"/>
      <c r="B98" s="286"/>
      <c r="C98" s="287"/>
      <c r="D98" s="199"/>
    </row>
    <row r="99" spans="1:4" x14ac:dyDescent="0.25">
      <c r="A99" s="188"/>
      <c r="B99" s="286"/>
      <c r="C99" s="287"/>
      <c r="D99" s="199"/>
    </row>
    <row r="100" spans="1:4" x14ac:dyDescent="0.25">
      <c r="A100" s="188"/>
      <c r="B100" s="286"/>
      <c r="C100" s="287"/>
      <c r="D100" s="199"/>
    </row>
    <row r="101" spans="1:4" x14ac:dyDescent="0.25">
      <c r="A101" s="188"/>
      <c r="B101" s="286"/>
      <c r="C101" s="287"/>
      <c r="D101" s="199"/>
    </row>
    <row r="102" spans="1:4" x14ac:dyDescent="0.25">
      <c r="A102" s="188"/>
      <c r="B102" s="286"/>
      <c r="C102" s="287"/>
      <c r="D102" s="199"/>
    </row>
    <row r="103" spans="1:4" x14ac:dyDescent="0.25">
      <c r="A103" s="188"/>
      <c r="B103" s="286"/>
      <c r="C103" s="287"/>
      <c r="D103" s="199"/>
    </row>
    <row r="104" spans="1:4" x14ac:dyDescent="0.25">
      <c r="A104" s="188"/>
      <c r="B104" s="286"/>
      <c r="C104" s="287"/>
      <c r="D104" s="199"/>
    </row>
    <row r="105" spans="1:4" x14ac:dyDescent="0.25">
      <c r="A105" s="188"/>
      <c r="B105" s="286"/>
      <c r="C105" s="287"/>
      <c r="D105" s="199"/>
    </row>
    <row r="106" spans="1:4" x14ac:dyDescent="0.25">
      <c r="A106" s="188"/>
      <c r="B106" s="286"/>
      <c r="C106" s="287"/>
      <c r="D106" s="199"/>
    </row>
    <row r="107" spans="1:4" x14ac:dyDescent="0.25">
      <c r="A107" s="188"/>
      <c r="B107" s="286"/>
      <c r="C107" s="287"/>
      <c r="D107" s="199"/>
    </row>
    <row r="108" spans="1:4" x14ac:dyDescent="0.25">
      <c r="A108" s="188"/>
      <c r="B108" s="286"/>
      <c r="C108" s="287"/>
      <c r="D108" s="199"/>
    </row>
    <row r="109" spans="1:4" x14ac:dyDescent="0.25">
      <c r="A109" s="188"/>
      <c r="B109" s="286"/>
      <c r="C109" s="287"/>
      <c r="D109" s="199"/>
    </row>
    <row r="110" spans="1:4" x14ac:dyDescent="0.25">
      <c r="A110" s="188"/>
      <c r="B110" s="286"/>
      <c r="C110" s="287"/>
      <c r="D110" s="199"/>
    </row>
    <row r="111" spans="1:4" x14ac:dyDescent="0.25">
      <c r="A111" s="188"/>
      <c r="B111" s="286"/>
      <c r="C111" s="287"/>
      <c r="D111" s="199"/>
    </row>
    <row r="112" spans="1:4" x14ac:dyDescent="0.25">
      <c r="A112" s="188"/>
      <c r="B112" s="286"/>
      <c r="C112" s="287"/>
      <c r="D112" s="199"/>
    </row>
    <row r="113" spans="1:4" x14ac:dyDescent="0.25">
      <c r="A113" s="188"/>
      <c r="B113" s="286"/>
      <c r="C113" s="287"/>
      <c r="D113" s="199"/>
    </row>
    <row r="114" spans="1:4" x14ac:dyDescent="0.25">
      <c r="A114" s="188"/>
      <c r="B114" s="286"/>
      <c r="C114" s="287"/>
      <c r="D114" s="199"/>
    </row>
    <row r="115" spans="1:4" x14ac:dyDescent="0.25">
      <c r="A115" s="188"/>
      <c r="B115" s="286"/>
      <c r="C115" s="287"/>
      <c r="D115" s="199"/>
    </row>
    <row r="116" spans="1:4" x14ac:dyDescent="0.25">
      <c r="A116" s="188"/>
      <c r="B116" s="286"/>
      <c r="C116" s="287"/>
      <c r="D116" s="199"/>
    </row>
    <row r="117" spans="1:4" x14ac:dyDescent="0.25">
      <c r="A117" s="188"/>
      <c r="B117" s="286"/>
      <c r="C117" s="287"/>
      <c r="D117" s="199"/>
    </row>
    <row r="118" spans="1:4" x14ac:dyDescent="0.25">
      <c r="A118" s="188"/>
      <c r="B118" s="286"/>
      <c r="C118" s="287"/>
      <c r="D118" s="199"/>
    </row>
    <row r="119" spans="1:4" x14ac:dyDescent="0.25">
      <c r="A119" s="188"/>
      <c r="B119" s="286"/>
      <c r="C119" s="287"/>
      <c r="D119" s="199"/>
    </row>
    <row r="120" spans="1:4" x14ac:dyDescent="0.25">
      <c r="A120" s="188"/>
      <c r="B120" s="286"/>
      <c r="C120" s="287"/>
      <c r="D120" s="199"/>
    </row>
    <row r="121" spans="1:4" x14ac:dyDescent="0.25">
      <c r="A121" s="188"/>
      <c r="B121" s="286"/>
      <c r="C121" s="287"/>
      <c r="D121" s="199"/>
    </row>
    <row r="122" spans="1:4" x14ac:dyDescent="0.25">
      <c r="A122" s="188"/>
      <c r="B122" s="286"/>
      <c r="C122" s="287"/>
      <c r="D122" s="199"/>
    </row>
    <row r="123" spans="1:4" x14ac:dyDescent="0.25">
      <c r="A123" s="188"/>
      <c r="B123" s="286"/>
      <c r="C123" s="287"/>
      <c r="D123" s="199"/>
    </row>
    <row r="124" spans="1:4" x14ac:dyDescent="0.25">
      <c r="A124" s="188"/>
      <c r="B124" s="286"/>
      <c r="C124" s="287"/>
      <c r="D124" s="199"/>
    </row>
    <row r="125" spans="1:4" x14ac:dyDescent="0.25">
      <c r="A125" s="188"/>
      <c r="B125" s="286"/>
      <c r="C125" s="287"/>
      <c r="D125" s="199"/>
    </row>
    <row r="126" spans="1:4" x14ac:dyDescent="0.25">
      <c r="A126" s="188"/>
      <c r="B126" s="286"/>
      <c r="C126" s="287"/>
      <c r="D126" s="199"/>
    </row>
    <row r="127" spans="1:4" x14ac:dyDescent="0.25">
      <c r="A127" s="188"/>
      <c r="B127" s="286"/>
      <c r="C127" s="287"/>
      <c r="D127" s="199"/>
    </row>
    <row r="128" spans="1:4" x14ac:dyDescent="0.25">
      <c r="A128" s="188"/>
      <c r="B128" s="286"/>
      <c r="C128" s="287"/>
      <c r="D128" s="199"/>
    </row>
    <row r="129" spans="1:4" x14ac:dyDescent="0.25">
      <c r="A129" s="188"/>
      <c r="B129" s="286"/>
      <c r="C129" s="287"/>
      <c r="D129" s="199"/>
    </row>
    <row r="130" spans="1:4" x14ac:dyDescent="0.25">
      <c r="A130" s="188"/>
      <c r="B130" s="286"/>
      <c r="C130" s="287"/>
      <c r="D130" s="199"/>
    </row>
    <row r="131" spans="1:4" x14ac:dyDescent="0.25">
      <c r="A131" s="188"/>
      <c r="B131" s="286"/>
      <c r="C131" s="287"/>
      <c r="D131" s="199"/>
    </row>
    <row r="132" spans="1:4" x14ac:dyDescent="0.25">
      <c r="A132" s="188"/>
      <c r="B132" s="286"/>
      <c r="C132" s="287"/>
      <c r="D132" s="199"/>
    </row>
    <row r="133" spans="1:4" x14ac:dyDescent="0.25">
      <c r="A133" s="188"/>
      <c r="B133" s="286"/>
      <c r="C133" s="287"/>
      <c r="D133" s="199"/>
    </row>
    <row r="134" spans="1:4" x14ac:dyDescent="0.25">
      <c r="A134" s="188"/>
      <c r="B134" s="286"/>
      <c r="C134" s="287"/>
      <c r="D134" s="199"/>
    </row>
    <row r="135" spans="1:4" x14ac:dyDescent="0.25">
      <c r="A135" s="188"/>
      <c r="B135" s="286"/>
      <c r="C135" s="287"/>
      <c r="D135" s="199"/>
    </row>
    <row r="136" spans="1:4" x14ac:dyDescent="0.25">
      <c r="A136" s="188"/>
      <c r="B136" s="286"/>
      <c r="C136" s="287"/>
      <c r="D136" s="199"/>
    </row>
    <row r="137" spans="1:4" x14ac:dyDescent="0.25">
      <c r="A137" s="188"/>
      <c r="B137" s="286"/>
      <c r="C137" s="287"/>
      <c r="D137" s="199"/>
    </row>
    <row r="138" spans="1:4" x14ac:dyDescent="0.25">
      <c r="A138" s="188"/>
      <c r="B138" s="286"/>
      <c r="C138" s="287"/>
      <c r="D138" s="199"/>
    </row>
    <row r="139" spans="1:4" x14ac:dyDescent="0.25">
      <c r="A139" s="188"/>
      <c r="B139" s="286"/>
      <c r="C139" s="287"/>
      <c r="D139" s="199"/>
    </row>
    <row r="140" spans="1:4" x14ac:dyDescent="0.25">
      <c r="A140" s="188"/>
      <c r="B140" s="286"/>
      <c r="C140" s="287"/>
      <c r="D140" s="199"/>
    </row>
    <row r="141" spans="1:4" x14ac:dyDescent="0.25">
      <c r="A141" s="188"/>
      <c r="B141" s="286"/>
      <c r="C141" s="287"/>
      <c r="D141" s="199"/>
    </row>
    <row r="142" spans="1:4" x14ac:dyDescent="0.25">
      <c r="A142" s="188"/>
      <c r="B142" s="286"/>
      <c r="C142" s="287"/>
      <c r="D142" s="199"/>
    </row>
    <row r="143" spans="1:4" x14ac:dyDescent="0.25">
      <c r="A143" s="188"/>
      <c r="B143" s="286"/>
      <c r="C143" s="287"/>
      <c r="D143" s="199"/>
    </row>
    <row r="144" spans="1:4" x14ac:dyDescent="0.25">
      <c r="A144" s="188"/>
      <c r="B144" s="286"/>
      <c r="C144" s="287"/>
      <c r="D144" s="199"/>
    </row>
    <row r="145" spans="1:4" x14ac:dyDescent="0.25">
      <c r="A145" s="188"/>
      <c r="B145" s="286"/>
      <c r="C145" s="287"/>
      <c r="D145" s="199"/>
    </row>
    <row r="146" spans="1:4" x14ac:dyDescent="0.25">
      <c r="A146" s="188"/>
      <c r="B146" s="286"/>
      <c r="C146" s="287"/>
      <c r="D146" s="199"/>
    </row>
    <row r="147" spans="1:4" x14ac:dyDescent="0.25">
      <c r="A147" s="188"/>
      <c r="B147" s="286"/>
      <c r="C147" s="287"/>
      <c r="D147" s="199"/>
    </row>
    <row r="148" spans="1:4" x14ac:dyDescent="0.25">
      <c r="A148" s="188"/>
      <c r="B148" s="286"/>
      <c r="C148" s="287"/>
      <c r="D148" s="199"/>
    </row>
    <row r="149" spans="1:4" x14ac:dyDescent="0.25">
      <c r="A149" s="188"/>
      <c r="B149" s="286"/>
      <c r="C149" s="287"/>
      <c r="D149" s="199"/>
    </row>
    <row r="150" spans="1:4" x14ac:dyDescent="0.25">
      <c r="A150" s="188"/>
      <c r="B150" s="286"/>
      <c r="C150" s="287"/>
      <c r="D150" s="199"/>
    </row>
    <row r="151" spans="1:4" x14ac:dyDescent="0.25">
      <c r="A151" s="188"/>
      <c r="B151" s="286"/>
      <c r="C151" s="287"/>
      <c r="D151" s="199"/>
    </row>
    <row r="152" spans="1:4" x14ac:dyDescent="0.25">
      <c r="A152" s="188"/>
      <c r="B152" s="286"/>
      <c r="C152" s="287"/>
      <c r="D152" s="199"/>
    </row>
    <row r="153" spans="1:4" x14ac:dyDescent="0.25">
      <c r="A153" s="188"/>
      <c r="B153" s="286"/>
      <c r="C153" s="287"/>
      <c r="D153" s="199"/>
    </row>
    <row r="154" spans="1:4" x14ac:dyDescent="0.25">
      <c r="A154" s="188"/>
      <c r="B154" s="286"/>
      <c r="C154" s="287"/>
      <c r="D154" s="199"/>
    </row>
    <row r="155" spans="1:4" x14ac:dyDescent="0.25">
      <c r="A155" s="188"/>
      <c r="B155" s="286"/>
      <c r="C155" s="287"/>
      <c r="D155" s="199"/>
    </row>
    <row r="156" spans="1:4" x14ac:dyDescent="0.25">
      <c r="A156" s="188"/>
      <c r="B156" s="286"/>
      <c r="C156" s="287"/>
      <c r="D156" s="199"/>
    </row>
    <row r="157" spans="1:4" x14ac:dyDescent="0.25">
      <c r="A157" s="188"/>
      <c r="B157" s="286"/>
      <c r="C157" s="287"/>
      <c r="D157" s="199"/>
    </row>
    <row r="158" spans="1:4" x14ac:dyDescent="0.25">
      <c r="A158" s="188"/>
      <c r="B158" s="286"/>
      <c r="C158" s="287"/>
      <c r="D158" s="199"/>
    </row>
    <row r="159" spans="1:4" x14ac:dyDescent="0.25">
      <c r="A159" s="188"/>
      <c r="B159" s="286"/>
      <c r="C159" s="287"/>
      <c r="D159" s="199"/>
    </row>
    <row r="160" spans="1:4" x14ac:dyDescent="0.25">
      <c r="A160" s="188"/>
      <c r="B160" s="286"/>
      <c r="C160" s="287"/>
      <c r="D160" s="199"/>
    </row>
    <row r="161" spans="1:4" x14ac:dyDescent="0.25">
      <c r="A161" s="188"/>
      <c r="B161" s="286"/>
      <c r="C161" s="287"/>
      <c r="D161" s="199"/>
    </row>
    <row r="162" spans="1:4" x14ac:dyDescent="0.25">
      <c r="A162" s="188"/>
      <c r="B162" s="286"/>
      <c r="C162" s="287"/>
      <c r="D162" s="199"/>
    </row>
    <row r="163" spans="1:4" x14ac:dyDescent="0.25">
      <c r="A163" s="188"/>
      <c r="B163" s="286"/>
      <c r="C163" s="287"/>
      <c r="D163" s="199"/>
    </row>
    <row r="164" spans="1:4" x14ac:dyDescent="0.25">
      <c r="A164" s="188"/>
      <c r="B164" s="286"/>
      <c r="C164" s="287"/>
      <c r="D164" s="199"/>
    </row>
    <row r="165" spans="1:4" x14ac:dyDescent="0.25">
      <c r="A165" s="188"/>
      <c r="B165" s="286"/>
      <c r="C165" s="287"/>
      <c r="D165" s="199"/>
    </row>
    <row r="166" spans="1:4" x14ac:dyDescent="0.25">
      <c r="A166" s="188"/>
      <c r="B166" s="286"/>
      <c r="C166" s="287"/>
      <c r="D166" s="199"/>
    </row>
    <row r="167" spans="1:4" x14ac:dyDescent="0.25">
      <c r="A167" s="188"/>
      <c r="B167" s="286"/>
      <c r="C167" s="287"/>
      <c r="D167" s="199"/>
    </row>
    <row r="168" spans="1:4" x14ac:dyDescent="0.25">
      <c r="A168" s="188"/>
      <c r="B168" s="286"/>
      <c r="C168" s="287"/>
      <c r="D168" s="199"/>
    </row>
    <row r="169" spans="1:4" x14ac:dyDescent="0.25">
      <c r="A169" s="188"/>
      <c r="B169" s="286"/>
      <c r="C169" s="287"/>
      <c r="D169" s="199"/>
    </row>
    <row r="170" spans="1:4" x14ac:dyDescent="0.25">
      <c r="A170" s="188"/>
      <c r="B170" s="286"/>
      <c r="C170" s="287"/>
      <c r="D170" s="199"/>
    </row>
    <row r="171" spans="1:4" x14ac:dyDescent="0.25">
      <c r="A171" s="188"/>
      <c r="B171" s="286"/>
      <c r="C171" s="287"/>
      <c r="D171" s="199"/>
    </row>
    <row r="172" spans="1:4" x14ac:dyDescent="0.25">
      <c r="A172" s="188"/>
      <c r="B172" s="286"/>
      <c r="C172" s="287"/>
      <c r="D172" s="199"/>
    </row>
    <row r="173" spans="1:4" x14ac:dyDescent="0.25">
      <c r="A173" s="188"/>
      <c r="B173" s="286"/>
      <c r="C173" s="287"/>
      <c r="D173" s="199"/>
    </row>
    <row r="174" spans="1:4" x14ac:dyDescent="0.25">
      <c r="A174" s="188"/>
      <c r="B174" s="286"/>
      <c r="C174" s="287"/>
      <c r="D174" s="199"/>
    </row>
    <row r="175" spans="1:4" x14ac:dyDescent="0.25">
      <c r="A175" s="188"/>
      <c r="B175" s="286"/>
      <c r="C175" s="287"/>
      <c r="D175" s="199"/>
    </row>
    <row r="176" spans="1:4" x14ac:dyDescent="0.25">
      <c r="A176" s="188"/>
      <c r="B176" s="286"/>
      <c r="C176" s="287"/>
      <c r="D176" s="199"/>
    </row>
    <row r="177" spans="1:4" x14ac:dyDescent="0.25">
      <c r="A177" s="188"/>
      <c r="B177" s="286"/>
      <c r="C177" s="287"/>
      <c r="D177" s="199"/>
    </row>
    <row r="178" spans="1:4" x14ac:dyDescent="0.25">
      <c r="A178" s="188"/>
      <c r="B178" s="286"/>
      <c r="C178" s="287"/>
      <c r="D178" s="199"/>
    </row>
    <row r="179" spans="1:4" x14ac:dyDescent="0.25">
      <c r="A179" s="188"/>
      <c r="B179" s="286"/>
      <c r="C179" s="287"/>
      <c r="D179" s="199"/>
    </row>
    <row r="180" spans="1:4" x14ac:dyDescent="0.25">
      <c r="A180" s="188"/>
      <c r="B180" s="286"/>
      <c r="C180" s="287"/>
      <c r="D180" s="199"/>
    </row>
    <row r="181" spans="1:4" x14ac:dyDescent="0.25">
      <c r="A181" s="188"/>
      <c r="B181" s="286"/>
      <c r="C181" s="287"/>
      <c r="D181" s="199"/>
    </row>
    <row r="182" spans="1:4" x14ac:dyDescent="0.25">
      <c r="A182" s="188"/>
      <c r="B182" s="286"/>
      <c r="C182" s="287"/>
      <c r="D182" s="199"/>
    </row>
    <row r="183" spans="1:4" x14ac:dyDescent="0.25">
      <c r="A183" s="188"/>
      <c r="B183" s="286"/>
      <c r="C183" s="287"/>
      <c r="D183" s="199"/>
    </row>
    <row r="184" spans="1:4" x14ac:dyDescent="0.25">
      <c r="A184" s="188"/>
      <c r="B184" s="286"/>
      <c r="C184" s="287"/>
      <c r="D184" s="199"/>
    </row>
    <row r="185" spans="1:4" x14ac:dyDescent="0.25">
      <c r="A185" s="188"/>
      <c r="B185" s="286"/>
      <c r="C185" s="287"/>
      <c r="D185" s="199"/>
    </row>
    <row r="186" spans="1:4" x14ac:dyDescent="0.25">
      <c r="A186" s="188"/>
      <c r="B186" s="286"/>
      <c r="C186" s="287"/>
      <c r="D186" s="199"/>
    </row>
    <row r="187" spans="1:4" x14ac:dyDescent="0.25">
      <c r="A187" s="188"/>
      <c r="B187" s="286"/>
      <c r="C187" s="287"/>
      <c r="D187" s="199"/>
    </row>
    <row r="188" spans="1:4" x14ac:dyDescent="0.25">
      <c r="A188" s="188"/>
      <c r="B188" s="286"/>
      <c r="C188" s="287"/>
      <c r="D188" s="199"/>
    </row>
    <row r="189" spans="1:4" x14ac:dyDescent="0.25">
      <c r="A189" s="188"/>
      <c r="B189" s="286"/>
      <c r="C189" s="287"/>
      <c r="D189" s="199"/>
    </row>
    <row r="190" spans="1:4" x14ac:dyDescent="0.25">
      <c r="A190" s="188"/>
      <c r="B190" s="286"/>
      <c r="C190" s="287"/>
      <c r="D190" s="199"/>
    </row>
    <row r="191" spans="1:4" x14ac:dyDescent="0.25">
      <c r="A191" s="188"/>
      <c r="B191" s="286"/>
      <c r="C191" s="287"/>
      <c r="D191" s="199"/>
    </row>
    <row r="192" spans="1:4" x14ac:dyDescent="0.25">
      <c r="A192" s="188"/>
      <c r="B192" s="286"/>
      <c r="C192" s="287"/>
      <c r="D192" s="199"/>
    </row>
    <row r="193" spans="1:4" x14ac:dyDescent="0.25">
      <c r="A193" s="188"/>
      <c r="B193" s="286"/>
      <c r="C193" s="287"/>
      <c r="D193" s="199"/>
    </row>
    <row r="194" spans="1:4" x14ac:dyDescent="0.25">
      <c r="A194" s="188"/>
      <c r="B194" s="286"/>
      <c r="C194" s="287"/>
      <c r="D194" s="199"/>
    </row>
    <row r="195" spans="1:4" x14ac:dyDescent="0.25">
      <c r="A195" s="188"/>
      <c r="B195" s="286"/>
      <c r="C195" s="287"/>
      <c r="D195" s="199"/>
    </row>
    <row r="196" spans="1:4" x14ac:dyDescent="0.25">
      <c r="A196" s="188"/>
      <c r="B196" s="286"/>
      <c r="C196" s="287"/>
      <c r="D196" s="199"/>
    </row>
    <row r="197" spans="1:4" x14ac:dyDescent="0.25">
      <c r="A197" s="188"/>
      <c r="B197" s="286"/>
      <c r="C197" s="287"/>
      <c r="D197" s="199"/>
    </row>
    <row r="198" spans="1:4" x14ac:dyDescent="0.25">
      <c r="A198" s="188"/>
      <c r="B198" s="286"/>
      <c r="C198" s="287"/>
      <c r="D198" s="199"/>
    </row>
    <row r="199" spans="1:4" x14ac:dyDescent="0.25">
      <c r="A199" s="188"/>
      <c r="B199" s="286"/>
      <c r="C199" s="287"/>
      <c r="D199" s="199"/>
    </row>
    <row r="200" spans="1:4" x14ac:dyDescent="0.25">
      <c r="A200" s="188"/>
      <c r="B200" s="286"/>
      <c r="C200" s="287"/>
      <c r="D200" s="199"/>
    </row>
    <row r="201" spans="1:4" x14ac:dyDescent="0.25">
      <c r="A201" s="188"/>
      <c r="B201" s="286"/>
      <c r="C201" s="287"/>
      <c r="D201" s="199"/>
    </row>
    <row r="202" spans="1:4" x14ac:dyDescent="0.25">
      <c r="A202" s="188"/>
      <c r="B202" s="286"/>
      <c r="C202" s="287"/>
      <c r="D202" s="199"/>
    </row>
    <row r="203" spans="1:4" x14ac:dyDescent="0.25">
      <c r="A203" s="188"/>
      <c r="B203" s="286"/>
      <c r="C203" s="287"/>
      <c r="D203" s="199"/>
    </row>
    <row r="204" spans="1:4" x14ac:dyDescent="0.25">
      <c r="A204" s="188"/>
      <c r="B204" s="286"/>
      <c r="C204" s="287"/>
      <c r="D204" s="199"/>
    </row>
    <row r="205" spans="1:4" x14ac:dyDescent="0.25">
      <c r="A205" s="188"/>
      <c r="B205" s="286"/>
      <c r="C205" s="287"/>
      <c r="D205" s="199"/>
    </row>
    <row r="206" spans="1:4" x14ac:dyDescent="0.25">
      <c r="A206" s="188"/>
      <c r="B206" s="286"/>
      <c r="C206" s="287"/>
      <c r="D206" s="199"/>
    </row>
    <row r="207" spans="1:4" x14ac:dyDescent="0.25">
      <c r="A207" s="188"/>
      <c r="B207" s="286"/>
      <c r="C207" s="287"/>
      <c r="D207" s="199"/>
    </row>
    <row r="208" spans="1:4" x14ac:dyDescent="0.25">
      <c r="A208" s="188"/>
      <c r="B208" s="286"/>
      <c r="C208" s="287"/>
      <c r="D208" s="199"/>
    </row>
    <row r="209" spans="1:4" x14ac:dyDescent="0.25">
      <c r="A209" s="188"/>
      <c r="B209" s="286"/>
      <c r="C209" s="287"/>
      <c r="D209" s="199"/>
    </row>
    <row r="210" spans="1:4" x14ac:dyDescent="0.25">
      <c r="A210" s="188"/>
      <c r="B210" s="286"/>
      <c r="C210" s="287"/>
      <c r="D210" s="199"/>
    </row>
    <row r="211" spans="1:4" x14ac:dyDescent="0.25">
      <c r="A211" s="188"/>
      <c r="B211" s="286"/>
      <c r="C211" s="287"/>
      <c r="D211" s="199"/>
    </row>
    <row r="212" spans="1:4" x14ac:dyDescent="0.25">
      <c r="A212" s="188"/>
      <c r="B212" s="286"/>
      <c r="C212" s="287"/>
      <c r="D212" s="199"/>
    </row>
    <row r="213" spans="1:4" x14ac:dyDescent="0.25">
      <c r="A213" s="188"/>
      <c r="B213" s="286"/>
      <c r="C213" s="287"/>
      <c r="D213" s="199"/>
    </row>
    <row r="214" spans="1:4" x14ac:dyDescent="0.25">
      <c r="A214" s="188"/>
      <c r="B214" s="286"/>
      <c r="C214" s="287"/>
      <c r="D214" s="199"/>
    </row>
    <row r="215" spans="1:4" x14ac:dyDescent="0.25">
      <c r="A215" s="188"/>
      <c r="B215" s="286"/>
      <c r="C215" s="287"/>
      <c r="D215" s="199"/>
    </row>
    <row r="216" spans="1:4" x14ac:dyDescent="0.25">
      <c r="A216" s="188"/>
      <c r="B216" s="286"/>
      <c r="C216" s="287"/>
      <c r="D216" s="199"/>
    </row>
    <row r="217" spans="1:4" x14ac:dyDescent="0.25">
      <c r="A217" s="188"/>
      <c r="B217" s="286"/>
      <c r="C217" s="287"/>
      <c r="D217" s="199"/>
    </row>
    <row r="218" spans="1:4" x14ac:dyDescent="0.25">
      <c r="A218" s="188"/>
      <c r="B218" s="286"/>
      <c r="C218" s="287"/>
      <c r="D218" s="199"/>
    </row>
    <row r="219" spans="1:4" x14ac:dyDescent="0.25">
      <c r="A219" s="188"/>
      <c r="B219" s="286"/>
      <c r="C219" s="287"/>
      <c r="D219" s="199"/>
    </row>
    <row r="220" spans="1:4" x14ac:dyDescent="0.25">
      <c r="C220" s="273"/>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2:I50"/>
  <sheetViews>
    <sheetView topLeftCell="A16" workbookViewId="0"/>
  </sheetViews>
  <sheetFormatPr baseColWidth="10" defaultRowHeight="15" x14ac:dyDescent="0.25"/>
  <cols>
    <col min="1" max="3" width="11.42578125" customWidth="1"/>
    <col min="4" max="4" width="22.85546875" customWidth="1"/>
    <col min="5" max="5" width="13.28515625" customWidth="1"/>
    <col min="6" max="6" width="17" customWidth="1"/>
    <col min="7" max="7" width="16.85546875" customWidth="1"/>
    <col min="8" max="8" width="11.42578125" customWidth="1"/>
  </cols>
  <sheetData>
    <row r="2" spans="2:9" ht="15" customHeight="1" x14ac:dyDescent="0.25">
      <c r="B2" s="581" t="s">
        <v>0</v>
      </c>
      <c r="C2" s="581"/>
      <c r="D2" s="581"/>
      <c r="E2" s="581"/>
      <c r="F2" s="581"/>
      <c r="G2" s="581"/>
      <c r="H2" s="581"/>
      <c r="I2" s="581"/>
    </row>
    <row r="3" spans="2:9" x14ac:dyDescent="0.25">
      <c r="B3" s="581"/>
      <c r="C3" s="581"/>
      <c r="D3" s="581"/>
      <c r="E3" s="581"/>
      <c r="F3" s="581"/>
      <c r="G3" s="581"/>
      <c r="H3" s="581"/>
      <c r="I3" s="581"/>
    </row>
    <row r="4" spans="2:9" x14ac:dyDescent="0.25">
      <c r="B4" s="581"/>
      <c r="C4" s="581"/>
      <c r="D4" s="581"/>
      <c r="E4" s="581"/>
      <c r="F4" s="581"/>
      <c r="G4" s="581"/>
      <c r="H4" s="581"/>
      <c r="I4" s="581"/>
    </row>
    <row r="5" spans="2:9" x14ac:dyDescent="0.25">
      <c r="B5" s="581"/>
      <c r="C5" s="581"/>
      <c r="D5" s="581"/>
      <c r="E5" s="581"/>
      <c r="F5" s="581"/>
      <c r="G5" s="581"/>
      <c r="H5" s="581"/>
      <c r="I5" s="581"/>
    </row>
    <row r="7" spans="2:9" ht="23.25" x14ac:dyDescent="0.25">
      <c r="C7" s="1" t="s">
        <v>1</v>
      </c>
      <c r="D7" s="1"/>
      <c r="E7" s="1"/>
      <c r="F7" s="1"/>
    </row>
    <row r="8" spans="2:9" ht="31.5" x14ac:dyDescent="0.35">
      <c r="C8" s="2" t="s">
        <v>2</v>
      </c>
      <c r="D8" s="2" t="s">
        <v>3</v>
      </c>
      <c r="E8" s="2" t="s">
        <v>4</v>
      </c>
      <c r="F8" s="2" t="s">
        <v>5</v>
      </c>
      <c r="G8" s="3" t="s">
        <v>6</v>
      </c>
    </row>
    <row r="9" spans="2:9" x14ac:dyDescent="0.25">
      <c r="C9" s="4">
        <v>1234</v>
      </c>
      <c r="D9" t="s">
        <v>7</v>
      </c>
      <c r="E9" s="5">
        <v>45</v>
      </c>
      <c r="F9" s="6">
        <v>3500</v>
      </c>
      <c r="G9" s="6">
        <f t="shared" ref="G9:G34" si="0">F9*E9</f>
        <v>157500</v>
      </c>
    </row>
    <row r="10" spans="2:9" x14ac:dyDescent="0.25">
      <c r="C10" s="4">
        <v>1235</v>
      </c>
      <c r="D10" t="s">
        <v>8</v>
      </c>
      <c r="E10" s="5">
        <v>54</v>
      </c>
      <c r="F10" s="6">
        <v>4356</v>
      </c>
      <c r="G10" s="6">
        <f t="shared" si="0"/>
        <v>235224</v>
      </c>
    </row>
    <row r="11" spans="2:9" x14ac:dyDescent="0.25">
      <c r="C11" s="4">
        <v>1236</v>
      </c>
      <c r="D11" t="s">
        <v>9</v>
      </c>
      <c r="E11" s="5">
        <v>67</v>
      </c>
      <c r="F11" s="6">
        <v>3256</v>
      </c>
      <c r="G11" s="6">
        <f t="shared" si="0"/>
        <v>218152</v>
      </c>
    </row>
    <row r="12" spans="2:9" x14ac:dyDescent="0.25">
      <c r="C12" s="4">
        <v>1236</v>
      </c>
      <c r="D12" t="s">
        <v>10</v>
      </c>
      <c r="E12" s="5">
        <v>0</v>
      </c>
      <c r="F12" s="6">
        <v>5468</v>
      </c>
      <c r="G12" s="6">
        <f t="shared" si="0"/>
        <v>0</v>
      </c>
    </row>
    <row r="13" spans="2:9" x14ac:dyDescent="0.25">
      <c r="C13" s="4">
        <v>1237</v>
      </c>
      <c r="D13" t="s">
        <v>11</v>
      </c>
      <c r="E13" s="5">
        <v>0</v>
      </c>
      <c r="F13" s="6">
        <v>8477</v>
      </c>
      <c r="G13" s="6">
        <f t="shared" si="0"/>
        <v>0</v>
      </c>
    </row>
    <row r="14" spans="2:9" x14ac:dyDescent="0.25">
      <c r="C14" s="4">
        <v>1237.7</v>
      </c>
      <c r="D14" t="s">
        <v>12</v>
      </c>
      <c r="E14" s="5">
        <v>45</v>
      </c>
      <c r="F14" s="6">
        <v>6543</v>
      </c>
      <c r="G14" s="6">
        <f t="shared" si="0"/>
        <v>294435</v>
      </c>
    </row>
    <row r="15" spans="2:9" x14ac:dyDescent="0.25">
      <c r="C15" s="4">
        <v>1238.4000000000001</v>
      </c>
      <c r="D15" t="s">
        <v>13</v>
      </c>
      <c r="E15" s="5">
        <v>334</v>
      </c>
      <c r="F15" s="6">
        <v>2789</v>
      </c>
      <c r="G15" s="6">
        <f t="shared" si="0"/>
        <v>931526</v>
      </c>
    </row>
    <row r="16" spans="2:9" x14ac:dyDescent="0.25">
      <c r="C16" s="4">
        <v>1239.0999999999999</v>
      </c>
      <c r="D16" t="s">
        <v>14</v>
      </c>
      <c r="E16" s="5">
        <v>3</v>
      </c>
      <c r="F16" s="6">
        <v>4321</v>
      </c>
      <c r="G16" s="6">
        <f t="shared" si="0"/>
        <v>12963</v>
      </c>
    </row>
    <row r="17" spans="3:7" x14ac:dyDescent="0.25">
      <c r="C17" s="4">
        <v>1239.8</v>
      </c>
      <c r="D17" t="s">
        <v>15</v>
      </c>
      <c r="E17" s="5">
        <v>77</v>
      </c>
      <c r="F17" s="6">
        <v>3452</v>
      </c>
      <c r="G17" s="6">
        <f t="shared" si="0"/>
        <v>265804</v>
      </c>
    </row>
    <row r="18" spans="3:7" x14ac:dyDescent="0.25">
      <c r="C18" s="4">
        <v>1240.5</v>
      </c>
      <c r="D18" t="s">
        <v>16</v>
      </c>
      <c r="E18" s="5">
        <v>66</v>
      </c>
      <c r="F18" s="6">
        <v>2345</v>
      </c>
      <c r="G18" s="6">
        <f t="shared" si="0"/>
        <v>154770</v>
      </c>
    </row>
    <row r="19" spans="3:7" x14ac:dyDescent="0.25">
      <c r="C19" s="4">
        <v>1241.2</v>
      </c>
      <c r="D19" t="s">
        <v>17</v>
      </c>
      <c r="E19" s="5">
        <v>6</v>
      </c>
      <c r="F19" s="6">
        <v>9298</v>
      </c>
      <c r="G19" s="6">
        <f t="shared" si="0"/>
        <v>55788</v>
      </c>
    </row>
    <row r="20" spans="3:7" x14ac:dyDescent="0.25">
      <c r="C20" s="4">
        <v>1241.9000000000001</v>
      </c>
      <c r="D20" t="s">
        <v>18</v>
      </c>
      <c r="E20" s="5">
        <v>9</v>
      </c>
      <c r="F20" s="6">
        <v>83729</v>
      </c>
      <c r="G20" s="6">
        <f t="shared" si="0"/>
        <v>753561</v>
      </c>
    </row>
    <row r="21" spans="3:7" x14ac:dyDescent="0.25">
      <c r="C21" s="4">
        <v>1242.5999999999999</v>
      </c>
      <c r="D21" t="s">
        <v>19</v>
      </c>
      <c r="E21" s="5">
        <v>0</v>
      </c>
      <c r="F21" s="6">
        <v>8987</v>
      </c>
      <c r="G21" s="6">
        <f t="shared" si="0"/>
        <v>0</v>
      </c>
    </row>
    <row r="22" spans="3:7" x14ac:dyDescent="0.25">
      <c r="C22" s="4">
        <v>1243.3</v>
      </c>
      <c r="D22" t="s">
        <v>20</v>
      </c>
      <c r="E22" s="5">
        <v>0</v>
      </c>
      <c r="F22" s="6">
        <v>942</v>
      </c>
      <c r="G22" s="6">
        <f t="shared" si="0"/>
        <v>0</v>
      </c>
    </row>
    <row r="23" spans="3:7" x14ac:dyDescent="0.25">
      <c r="C23" s="4">
        <v>1244</v>
      </c>
      <c r="D23" t="s">
        <v>21</v>
      </c>
      <c r="E23" s="5">
        <v>75</v>
      </c>
      <c r="F23" s="6">
        <v>3234</v>
      </c>
      <c r="G23" s="6">
        <f t="shared" si="0"/>
        <v>242550</v>
      </c>
    </row>
    <row r="24" spans="3:7" x14ac:dyDescent="0.25">
      <c r="C24" s="4">
        <v>1244.7</v>
      </c>
      <c r="D24" t="s">
        <v>21</v>
      </c>
      <c r="E24" s="5">
        <v>24</v>
      </c>
      <c r="F24" s="6">
        <v>-16497.2</v>
      </c>
      <c r="G24" s="6">
        <f t="shared" si="0"/>
        <v>-395932.80000000005</v>
      </c>
    </row>
    <row r="25" spans="3:7" x14ac:dyDescent="0.25">
      <c r="C25" s="4">
        <v>1245.4000000000001</v>
      </c>
      <c r="D25" t="s">
        <v>22</v>
      </c>
      <c r="E25" s="5">
        <v>9</v>
      </c>
      <c r="F25" s="6">
        <v>-18834.599999999999</v>
      </c>
      <c r="G25" s="6">
        <f t="shared" si="0"/>
        <v>-169511.4</v>
      </c>
    </row>
    <row r="26" spans="3:7" x14ac:dyDescent="0.25">
      <c r="C26" s="4">
        <v>1246.0999999999999</v>
      </c>
      <c r="D26" t="s">
        <v>23</v>
      </c>
      <c r="E26" s="5">
        <v>43</v>
      </c>
      <c r="F26" s="6">
        <v>-21172</v>
      </c>
      <c r="G26" s="6">
        <f t="shared" si="0"/>
        <v>-910396</v>
      </c>
    </row>
    <row r="27" spans="3:7" x14ac:dyDescent="0.25">
      <c r="C27" s="4">
        <v>1246.8</v>
      </c>
      <c r="D27" t="s">
        <v>21</v>
      </c>
      <c r="E27" s="5">
        <v>65</v>
      </c>
      <c r="F27" s="6">
        <v>-23509.4</v>
      </c>
      <c r="G27" s="6">
        <f t="shared" si="0"/>
        <v>-1528111</v>
      </c>
    </row>
    <row r="28" spans="3:7" x14ac:dyDescent="0.25">
      <c r="C28" s="4">
        <v>1247.5</v>
      </c>
      <c r="D28" t="s">
        <v>24</v>
      </c>
      <c r="E28" s="5">
        <v>78</v>
      </c>
      <c r="F28" s="6">
        <v>-25846.799999999999</v>
      </c>
      <c r="G28" s="6">
        <f t="shared" si="0"/>
        <v>-2016050.4</v>
      </c>
    </row>
    <row r="29" spans="3:7" x14ac:dyDescent="0.25">
      <c r="C29" s="4">
        <v>1248.2</v>
      </c>
      <c r="D29" t="s">
        <v>25</v>
      </c>
      <c r="E29" s="5">
        <v>86</v>
      </c>
      <c r="F29" s="6">
        <v>-28184.2</v>
      </c>
      <c r="G29" s="6">
        <f t="shared" si="0"/>
        <v>-2423841.2000000002</v>
      </c>
    </row>
    <row r="30" spans="3:7" x14ac:dyDescent="0.25">
      <c r="C30" s="4">
        <v>1248.9000000000001</v>
      </c>
      <c r="D30" t="s">
        <v>26</v>
      </c>
      <c r="E30" s="5">
        <v>54</v>
      </c>
      <c r="F30" s="6">
        <v>-30521.599999999999</v>
      </c>
      <c r="G30" s="6">
        <f t="shared" si="0"/>
        <v>-1648166.4</v>
      </c>
    </row>
    <row r="31" spans="3:7" x14ac:dyDescent="0.25">
      <c r="C31" s="4">
        <v>1249.5999999999999</v>
      </c>
      <c r="D31" t="s">
        <v>27</v>
      </c>
      <c r="E31" s="5">
        <v>3</v>
      </c>
      <c r="F31" s="6">
        <v>-32859</v>
      </c>
      <c r="G31" s="6">
        <f t="shared" si="0"/>
        <v>-98577</v>
      </c>
    </row>
    <row r="32" spans="3:7" x14ac:dyDescent="0.25">
      <c r="C32" s="4">
        <v>1250.3</v>
      </c>
      <c r="D32" t="s">
        <v>28</v>
      </c>
      <c r="E32" s="5">
        <v>0</v>
      </c>
      <c r="F32" s="6">
        <v>-35196.400000000001</v>
      </c>
      <c r="G32" s="6">
        <f t="shared" si="0"/>
        <v>0</v>
      </c>
    </row>
    <row r="33" spans="3:7" x14ac:dyDescent="0.25">
      <c r="C33" s="4">
        <v>1251</v>
      </c>
      <c r="D33" t="s">
        <v>29</v>
      </c>
      <c r="E33" s="5">
        <v>33</v>
      </c>
      <c r="F33" s="6">
        <v>-37533.800000000003</v>
      </c>
      <c r="G33" s="6">
        <f t="shared" si="0"/>
        <v>-1238615.4000000001</v>
      </c>
    </row>
    <row r="34" spans="3:7" x14ac:dyDescent="0.25">
      <c r="C34" s="4">
        <v>1251.7</v>
      </c>
      <c r="D34" t="s">
        <v>30</v>
      </c>
      <c r="E34" s="5">
        <v>432</v>
      </c>
      <c r="F34" s="6">
        <v>-39871.199999999997</v>
      </c>
      <c r="G34" s="6">
        <f t="shared" si="0"/>
        <v>-17224358.399999999</v>
      </c>
    </row>
    <row r="35" spans="3:7" x14ac:dyDescent="0.25">
      <c r="C35" s="582" t="s">
        <v>31</v>
      </c>
      <c r="D35" s="582"/>
      <c r="E35" s="582"/>
      <c r="F35" s="582"/>
      <c r="G35" s="7">
        <f>SUM(G9:G34)</f>
        <v>-24331287</v>
      </c>
    </row>
    <row r="36" spans="3:7" x14ac:dyDescent="0.25">
      <c r="C36" s="4"/>
      <c r="E36" s="5"/>
    </row>
    <row r="37" spans="3:7" x14ac:dyDescent="0.25">
      <c r="C37" s="4"/>
      <c r="E37" s="5"/>
    </row>
    <row r="38" spans="3:7" x14ac:dyDescent="0.25">
      <c r="C38" s="4"/>
      <c r="E38" s="5"/>
    </row>
    <row r="39" spans="3:7" x14ac:dyDescent="0.25">
      <c r="C39" s="4"/>
      <c r="E39" s="5"/>
    </row>
    <row r="40" spans="3:7" x14ac:dyDescent="0.25">
      <c r="C40" s="4"/>
      <c r="E40" s="5"/>
    </row>
    <row r="41" spans="3:7" x14ac:dyDescent="0.25">
      <c r="C41" s="4"/>
      <c r="E41" s="5"/>
    </row>
    <row r="42" spans="3:7" x14ac:dyDescent="0.25">
      <c r="C42" s="4"/>
      <c r="E42" s="5"/>
    </row>
    <row r="43" spans="3:7" x14ac:dyDescent="0.25">
      <c r="C43" s="4"/>
      <c r="E43" s="5"/>
    </row>
    <row r="44" spans="3:7" x14ac:dyDescent="0.25">
      <c r="C44" s="4"/>
      <c r="E44" s="5"/>
    </row>
    <row r="45" spans="3:7" x14ac:dyDescent="0.25">
      <c r="C45" s="4"/>
    </row>
    <row r="46" spans="3:7" x14ac:dyDescent="0.25">
      <c r="C46" s="4"/>
    </row>
    <row r="47" spans="3:7" x14ac:dyDescent="0.25">
      <c r="C47" s="4"/>
    </row>
    <row r="48" spans="3:7" x14ac:dyDescent="0.25">
      <c r="C48" s="4"/>
    </row>
    <row r="49" spans="3:3" x14ac:dyDescent="0.25">
      <c r="C49" s="4"/>
    </row>
    <row r="50" spans="3:3" x14ac:dyDescent="0.25">
      <c r="C50" s="4"/>
    </row>
  </sheetData>
  <mergeCells count="2">
    <mergeCell ref="B2:I5"/>
    <mergeCell ref="C35:F35"/>
  </mergeCells>
  <pageMargins left="0.70000000000000007" right="0.70000000000000007" top="0.75" bottom="0.75" header="0.30000000000000004" footer="0.3000000000000000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rgb="FF00B0F0"/>
  </sheetPr>
  <dimension ref="B4:S49"/>
  <sheetViews>
    <sheetView topLeftCell="D23" zoomScale="110" zoomScaleNormal="110" workbookViewId="0">
      <selection activeCell="J26" sqref="J26:L35"/>
    </sheetView>
  </sheetViews>
  <sheetFormatPr baseColWidth="10" defaultRowHeight="15" x14ac:dyDescent="0.25"/>
  <cols>
    <col min="1" max="1" width="11.42578125" customWidth="1"/>
    <col min="2" max="2" width="19.28515625" customWidth="1"/>
    <col min="3" max="3" width="14" customWidth="1"/>
    <col min="4" max="4" width="14.140625" customWidth="1"/>
    <col min="5" max="5" width="6" customWidth="1"/>
    <col min="6" max="6" width="31.28515625" customWidth="1"/>
    <col min="7" max="7" width="36" customWidth="1"/>
    <col min="8" max="8" width="13.42578125" customWidth="1"/>
    <col min="9" max="9" width="8.7109375" customWidth="1"/>
    <col min="10" max="10" width="11" customWidth="1"/>
    <col min="11" max="11" width="15.140625" customWidth="1"/>
    <col min="12" max="12" width="14" customWidth="1"/>
    <col min="13" max="13" width="14.7109375" customWidth="1"/>
    <col min="14" max="14" width="13.140625" customWidth="1"/>
    <col min="15" max="15" width="12.7109375" customWidth="1"/>
    <col min="16" max="16" width="14.28515625" customWidth="1"/>
    <col min="17" max="17" width="11.42578125" customWidth="1"/>
    <col min="18" max="18" width="13.85546875" bestFit="1" customWidth="1"/>
  </cols>
  <sheetData>
    <row r="4" spans="5:16" ht="15.75" thickBot="1" x14ac:dyDescent="0.3">
      <c r="F4" s="583" t="s">
        <v>32</v>
      </c>
      <c r="G4" s="583"/>
      <c r="H4" s="583"/>
      <c r="I4" s="583"/>
      <c r="J4" s="583"/>
      <c r="K4" s="583"/>
      <c r="L4" s="583"/>
      <c r="M4" s="583"/>
      <c r="N4" s="583"/>
      <c r="O4" s="583"/>
      <c r="P4" s="583"/>
    </row>
    <row r="5" spans="5:16" ht="36.75" thickBot="1" x14ac:dyDescent="0.3">
      <c r="E5" s="102" t="s">
        <v>251</v>
      </c>
      <c r="F5" s="96" t="s">
        <v>236</v>
      </c>
      <c r="G5" s="8" t="s">
        <v>237</v>
      </c>
      <c r="H5" s="8" t="s">
        <v>238</v>
      </c>
      <c r="I5" s="8" t="s">
        <v>239</v>
      </c>
      <c r="J5" s="8" t="s">
        <v>240</v>
      </c>
      <c r="K5" s="589" t="s">
        <v>241</v>
      </c>
      <c r="L5" s="590"/>
      <c r="M5" s="591"/>
      <c r="N5" s="8" t="s">
        <v>242</v>
      </c>
      <c r="O5" s="8" t="s">
        <v>243</v>
      </c>
      <c r="P5" s="9" t="s">
        <v>244</v>
      </c>
    </row>
    <row r="6" spans="5:16" x14ac:dyDescent="0.25">
      <c r="E6" s="103">
        <v>1</v>
      </c>
      <c r="F6" s="100" t="s">
        <v>245</v>
      </c>
      <c r="G6" s="12" t="s">
        <v>52</v>
      </c>
      <c r="H6" s="140">
        <v>611300</v>
      </c>
      <c r="I6" s="13">
        <v>2.4630000000000001</v>
      </c>
      <c r="J6" s="162">
        <f t="shared" ref="J6:J22" si="0">(($G$36+I6)/100)+1</f>
        <v>1.53793</v>
      </c>
      <c r="K6" s="459">
        <f>172962.96/12</f>
        <v>14413.58</v>
      </c>
      <c r="L6" s="155"/>
      <c r="M6" s="144">
        <f>K6+L6</f>
        <v>14413.58</v>
      </c>
      <c r="N6" s="104">
        <v>70500</v>
      </c>
      <c r="O6" s="10">
        <f t="shared" ref="O6:O22" si="1">1+$G$47</f>
        <v>1.1766000000000001</v>
      </c>
      <c r="P6" s="137">
        <f>((H6*J6)+(N6*O6)+M6)/$L$34</f>
        <v>6084.3331515364771</v>
      </c>
    </row>
    <row r="7" spans="5:16" x14ac:dyDescent="0.25">
      <c r="E7" s="103">
        <v>2</v>
      </c>
      <c r="F7" s="100" t="s">
        <v>36</v>
      </c>
      <c r="G7" s="12" t="s">
        <v>37</v>
      </c>
      <c r="H7" s="140">
        <v>611300</v>
      </c>
      <c r="I7" s="13">
        <v>2.4630000000000001</v>
      </c>
      <c r="J7" s="162">
        <f t="shared" si="0"/>
        <v>1.53793</v>
      </c>
      <c r="K7" s="459">
        <f t="shared" ref="K7:K21" si="2">172962.96/12</f>
        <v>14413.58</v>
      </c>
      <c r="L7" s="155"/>
      <c r="M7" s="144">
        <f t="shared" ref="M7:M21" si="3">K7+L7</f>
        <v>14413.58</v>
      </c>
      <c r="N7" s="104">
        <v>70500</v>
      </c>
      <c r="O7" s="10">
        <f t="shared" si="1"/>
        <v>1.1766000000000001</v>
      </c>
      <c r="P7" s="137">
        <f t="shared" ref="P7:P21" si="4">((H7*J7)+(N7*O7)+L7)/$L$34</f>
        <v>5999.8059406521234</v>
      </c>
    </row>
    <row r="8" spans="5:16" x14ac:dyDescent="0.25">
      <c r="E8" s="103">
        <v>3</v>
      </c>
      <c r="F8" s="100" t="s">
        <v>38</v>
      </c>
      <c r="G8" s="12" t="s">
        <v>39</v>
      </c>
      <c r="H8" s="140">
        <f>H7</f>
        <v>611300</v>
      </c>
      <c r="I8" s="13">
        <v>2.4630000000000001</v>
      </c>
      <c r="J8" s="162">
        <f t="shared" si="0"/>
        <v>1.53793</v>
      </c>
      <c r="K8" s="459">
        <f t="shared" si="2"/>
        <v>14413.58</v>
      </c>
      <c r="L8" s="155"/>
      <c r="M8" s="144">
        <f t="shared" si="3"/>
        <v>14413.58</v>
      </c>
      <c r="N8" s="104">
        <v>70500</v>
      </c>
      <c r="O8" s="10">
        <f t="shared" si="1"/>
        <v>1.1766000000000001</v>
      </c>
      <c r="P8" s="137">
        <f t="shared" si="4"/>
        <v>5999.8059406521234</v>
      </c>
    </row>
    <row r="9" spans="5:16" x14ac:dyDescent="0.25">
      <c r="E9" s="103">
        <v>4</v>
      </c>
      <c r="F9" s="100" t="s">
        <v>250</v>
      </c>
      <c r="G9" s="12" t="s">
        <v>37</v>
      </c>
      <c r="H9" s="141">
        <v>779500</v>
      </c>
      <c r="I9" s="13">
        <v>2.4630000000000001</v>
      </c>
      <c r="J9" s="162">
        <f t="shared" si="0"/>
        <v>1.53793</v>
      </c>
      <c r="K9" s="459">
        <f t="shared" si="2"/>
        <v>14413.58</v>
      </c>
      <c r="L9" s="156">
        <v>68500</v>
      </c>
      <c r="M9" s="144">
        <f t="shared" si="3"/>
        <v>82913.58</v>
      </c>
      <c r="N9" s="104">
        <v>70500</v>
      </c>
      <c r="O9" s="10">
        <f t="shared" si="1"/>
        <v>1.1766000000000001</v>
      </c>
      <c r="P9" s="137">
        <f t="shared" si="4"/>
        <v>7918.52413206662</v>
      </c>
    </row>
    <row r="10" spans="5:16" ht="12.75" customHeight="1" x14ac:dyDescent="0.25">
      <c r="E10" s="103">
        <v>5</v>
      </c>
      <c r="F10" s="100" t="s">
        <v>40</v>
      </c>
      <c r="G10" s="12" t="s">
        <v>41</v>
      </c>
      <c r="H10" s="140">
        <v>970400</v>
      </c>
      <c r="I10" s="13">
        <v>2.4630000000000001</v>
      </c>
      <c r="J10" s="162">
        <f t="shared" si="0"/>
        <v>1.53793</v>
      </c>
      <c r="K10" s="459">
        <f t="shared" si="2"/>
        <v>14413.58</v>
      </c>
      <c r="L10" s="155"/>
      <c r="M10" s="144">
        <f t="shared" si="3"/>
        <v>14413.58</v>
      </c>
      <c r="N10" s="104">
        <v>70500</v>
      </c>
      <c r="O10" s="10">
        <f t="shared" si="1"/>
        <v>1.1766000000000001</v>
      </c>
      <c r="P10" s="137">
        <f t="shared" si="4"/>
        <v>9238.5501524747833</v>
      </c>
    </row>
    <row r="11" spans="5:16" ht="13.5" customHeight="1" x14ac:dyDescent="0.25">
      <c r="E11" s="103">
        <v>6</v>
      </c>
      <c r="F11" s="100" t="s">
        <v>42</v>
      </c>
      <c r="G11" s="12" t="s">
        <v>43</v>
      </c>
      <c r="H11" s="140">
        <v>750400</v>
      </c>
      <c r="I11" s="13">
        <v>2.4630000000000001</v>
      </c>
      <c r="J11" s="162">
        <f t="shared" si="0"/>
        <v>1.53793</v>
      </c>
      <c r="K11" s="459">
        <f t="shared" si="2"/>
        <v>14413.58</v>
      </c>
      <c r="L11" s="155"/>
      <c r="M11" s="144">
        <f t="shared" si="3"/>
        <v>14413.58</v>
      </c>
      <c r="N11" s="104">
        <v>70500</v>
      </c>
      <c r="O11" s="10">
        <f t="shared" si="1"/>
        <v>1.1766000000000001</v>
      </c>
      <c r="P11" s="137">
        <f t="shared" si="4"/>
        <v>7254.3570959418248</v>
      </c>
    </row>
    <row r="12" spans="5:16" ht="13.5" customHeight="1" x14ac:dyDescent="0.25">
      <c r="E12" s="103">
        <v>7</v>
      </c>
      <c r="F12" s="100" t="s">
        <v>248</v>
      </c>
      <c r="G12" s="12" t="s">
        <v>277</v>
      </c>
      <c r="H12" s="140">
        <v>642800</v>
      </c>
      <c r="I12" s="13">
        <v>2.4630000000000001</v>
      </c>
      <c r="J12" s="162">
        <f t="shared" si="0"/>
        <v>1.53793</v>
      </c>
      <c r="K12" s="459">
        <f t="shared" si="2"/>
        <v>14413.58</v>
      </c>
      <c r="L12" s="155"/>
      <c r="M12" s="144">
        <f t="shared" si="3"/>
        <v>14413.58</v>
      </c>
      <c r="N12" s="104">
        <v>70500</v>
      </c>
      <c r="O12" s="10">
        <f t="shared" si="1"/>
        <v>1.1766000000000001</v>
      </c>
      <c r="P12" s="137">
        <f t="shared" si="4"/>
        <v>6283.9063101102502</v>
      </c>
    </row>
    <row r="13" spans="5:16" ht="15.75" customHeight="1" x14ac:dyDescent="0.25">
      <c r="E13" s="103">
        <v>8</v>
      </c>
      <c r="F13" s="100" t="s">
        <v>47</v>
      </c>
      <c r="G13" s="12" t="s">
        <v>37</v>
      </c>
      <c r="H13" s="140">
        <v>628800</v>
      </c>
      <c r="I13" s="13">
        <v>2.4630000000000001</v>
      </c>
      <c r="J13" s="162">
        <f t="shared" si="0"/>
        <v>1.53793</v>
      </c>
      <c r="K13" s="459">
        <f t="shared" si="2"/>
        <v>14413.58</v>
      </c>
      <c r="L13" s="156">
        <v>70000</v>
      </c>
      <c r="M13" s="144">
        <f t="shared" si="3"/>
        <v>84413.58</v>
      </c>
      <c r="N13" s="104">
        <v>70500</v>
      </c>
      <c r="O13" s="10">
        <f t="shared" si="1"/>
        <v>1.1766000000000001</v>
      </c>
      <c r="P13" s="137">
        <f t="shared" si="4"/>
        <v>6568.1485104386575</v>
      </c>
    </row>
    <row r="14" spans="5:16" ht="15.75" customHeight="1" x14ac:dyDescent="0.25">
      <c r="E14" s="103">
        <v>9</v>
      </c>
      <c r="F14" s="100" t="s">
        <v>48</v>
      </c>
      <c r="G14" s="12" t="s">
        <v>49</v>
      </c>
      <c r="H14" s="140">
        <v>1348400</v>
      </c>
      <c r="I14" s="13">
        <v>2.4630000000000001</v>
      </c>
      <c r="J14" s="162">
        <f t="shared" si="0"/>
        <v>1.53793</v>
      </c>
      <c r="K14" s="459">
        <f t="shared" si="2"/>
        <v>14413.58</v>
      </c>
      <c r="L14" s="156"/>
      <c r="M14" s="144">
        <f t="shared" si="3"/>
        <v>14413.58</v>
      </c>
      <c r="N14" s="104">
        <v>70500</v>
      </c>
      <c r="O14" s="10">
        <f t="shared" si="1"/>
        <v>1.1766000000000001</v>
      </c>
      <c r="P14" s="137">
        <f t="shared" si="4"/>
        <v>12647.754585972318</v>
      </c>
    </row>
    <row r="15" spans="5:16" x14ac:dyDescent="0.25">
      <c r="E15" s="103">
        <v>10</v>
      </c>
      <c r="F15" s="100" t="s">
        <v>50</v>
      </c>
      <c r="G15" s="12" t="s">
        <v>49</v>
      </c>
      <c r="H15" s="141">
        <v>873800</v>
      </c>
      <c r="I15" s="13">
        <v>2.4630000000000001</v>
      </c>
      <c r="J15" s="162">
        <f t="shared" si="0"/>
        <v>1.53793</v>
      </c>
      <c r="K15" s="459">
        <f t="shared" si="2"/>
        <v>14413.58</v>
      </c>
      <c r="L15" s="156">
        <v>70000</v>
      </c>
      <c r="M15" s="144">
        <f t="shared" si="3"/>
        <v>84413.58</v>
      </c>
      <c r="N15" s="104">
        <v>70500</v>
      </c>
      <c r="O15" s="10">
        <f t="shared" si="1"/>
        <v>1.1766000000000001</v>
      </c>
      <c r="P15" s="137">
        <f t="shared" si="4"/>
        <v>8777.8180506685421</v>
      </c>
    </row>
    <row r="16" spans="5:16" x14ac:dyDescent="0.25">
      <c r="E16" s="103">
        <v>11</v>
      </c>
      <c r="F16" s="100" t="s">
        <v>51</v>
      </c>
      <c r="G16" s="12" t="s">
        <v>52</v>
      </c>
      <c r="H16" s="141">
        <v>874800</v>
      </c>
      <c r="I16" s="13">
        <v>2.4630000000000001</v>
      </c>
      <c r="J16" s="162">
        <f t="shared" si="0"/>
        <v>1.53793</v>
      </c>
      <c r="K16" s="459">
        <f t="shared" si="2"/>
        <v>14413.58</v>
      </c>
      <c r="L16" s="156"/>
      <c r="M16" s="144">
        <f t="shared" si="3"/>
        <v>14413.58</v>
      </c>
      <c r="N16" s="104">
        <v>70500</v>
      </c>
      <c r="O16" s="10">
        <f t="shared" si="1"/>
        <v>1.1766000000000001</v>
      </c>
      <c r="P16" s="137">
        <f t="shared" si="4"/>
        <v>8376.3280788177344</v>
      </c>
    </row>
    <row r="17" spans="2:18" x14ac:dyDescent="0.25">
      <c r="E17" s="103">
        <v>12</v>
      </c>
      <c r="F17" s="100" t="s">
        <v>246</v>
      </c>
      <c r="G17" s="12" t="s">
        <v>41</v>
      </c>
      <c r="H17" s="141">
        <v>611300</v>
      </c>
      <c r="I17" s="13">
        <v>2.4630000000000001</v>
      </c>
      <c r="J17" s="162">
        <f t="shared" si="0"/>
        <v>1.53793</v>
      </c>
      <c r="K17" s="459">
        <f t="shared" si="2"/>
        <v>14413.58</v>
      </c>
      <c r="L17" s="156"/>
      <c r="M17" s="144">
        <f t="shared" si="3"/>
        <v>14413.58</v>
      </c>
      <c r="N17" s="104">
        <v>70500</v>
      </c>
      <c r="O17" s="10">
        <f t="shared" si="1"/>
        <v>1.1766000000000001</v>
      </c>
      <c r="P17" s="137">
        <f t="shared" si="4"/>
        <v>5999.8059406521234</v>
      </c>
    </row>
    <row r="18" spans="2:18" x14ac:dyDescent="0.25">
      <c r="E18" s="103">
        <v>13</v>
      </c>
      <c r="F18" s="100" t="s">
        <v>249</v>
      </c>
      <c r="G18" s="12" t="s">
        <v>277</v>
      </c>
      <c r="H18" s="141">
        <v>628800</v>
      </c>
      <c r="I18" s="13">
        <v>2.4630000000000001</v>
      </c>
      <c r="J18" s="162">
        <f t="shared" si="0"/>
        <v>1.53793</v>
      </c>
      <c r="K18" s="459">
        <f t="shared" si="2"/>
        <v>14413.58</v>
      </c>
      <c r="L18" s="156"/>
      <c r="M18" s="144">
        <f t="shared" si="3"/>
        <v>14413.58</v>
      </c>
      <c r="N18" s="104">
        <v>70500</v>
      </c>
      <c r="O18" s="10">
        <f t="shared" si="1"/>
        <v>1.1766000000000001</v>
      </c>
      <c r="P18" s="137">
        <f t="shared" si="4"/>
        <v>6157.6394792399706</v>
      </c>
    </row>
    <row r="19" spans="2:18" ht="16.5" customHeight="1" x14ac:dyDescent="0.25">
      <c r="E19" s="103">
        <v>14</v>
      </c>
      <c r="F19" s="100" t="s">
        <v>53</v>
      </c>
      <c r="G19" s="14" t="s">
        <v>54</v>
      </c>
      <c r="H19" s="141">
        <v>682800</v>
      </c>
      <c r="I19" s="13">
        <v>2.4630000000000001</v>
      </c>
      <c r="J19" s="162">
        <f t="shared" si="0"/>
        <v>1.53793</v>
      </c>
      <c r="K19" s="459">
        <f t="shared" si="2"/>
        <v>14413.58</v>
      </c>
      <c r="L19" s="156">
        <v>0</v>
      </c>
      <c r="M19" s="144">
        <f t="shared" si="3"/>
        <v>14413.58</v>
      </c>
      <c r="N19" s="104">
        <v>70500</v>
      </c>
      <c r="O19" s="10">
        <f t="shared" si="1"/>
        <v>1.1766000000000001</v>
      </c>
      <c r="P19" s="137">
        <f t="shared" si="4"/>
        <v>6644.6686840253342</v>
      </c>
    </row>
    <row r="20" spans="2:18" ht="18" customHeight="1" x14ac:dyDescent="0.25">
      <c r="E20" s="103">
        <v>15</v>
      </c>
      <c r="F20" s="100" t="s">
        <v>55</v>
      </c>
      <c r="G20" s="12" t="s">
        <v>41</v>
      </c>
      <c r="H20" s="140">
        <v>894800</v>
      </c>
      <c r="I20" s="13">
        <v>2.4630000000000001</v>
      </c>
      <c r="J20" s="162">
        <f t="shared" si="0"/>
        <v>1.53793</v>
      </c>
      <c r="K20" s="459">
        <f t="shared" si="2"/>
        <v>14413.58</v>
      </c>
      <c r="L20" s="155"/>
      <c r="M20" s="144">
        <f t="shared" si="3"/>
        <v>14413.58</v>
      </c>
      <c r="N20" s="104">
        <v>70500</v>
      </c>
      <c r="O20" s="10">
        <f t="shared" si="1"/>
        <v>1.1766000000000001</v>
      </c>
      <c r="P20" s="137">
        <f t="shared" si="4"/>
        <v>8556.7092657752746</v>
      </c>
    </row>
    <row r="21" spans="2:18" ht="16.5" customHeight="1" thickBot="1" x14ac:dyDescent="0.3">
      <c r="E21" s="105">
        <v>16</v>
      </c>
      <c r="F21" s="101" t="s">
        <v>58</v>
      </c>
      <c r="G21" s="91" t="s">
        <v>54</v>
      </c>
      <c r="H21" s="142">
        <v>758600</v>
      </c>
      <c r="I21" s="128">
        <v>2.4630000000000001</v>
      </c>
      <c r="J21" s="456">
        <f t="shared" si="0"/>
        <v>1.53793</v>
      </c>
      <c r="K21" s="459">
        <f t="shared" si="2"/>
        <v>14413.58</v>
      </c>
      <c r="L21" s="457"/>
      <c r="M21" s="144">
        <f t="shared" si="3"/>
        <v>14413.58</v>
      </c>
      <c r="N21" s="126">
        <v>70500</v>
      </c>
      <c r="O21" s="107">
        <f t="shared" si="1"/>
        <v>1.1766000000000001</v>
      </c>
      <c r="P21" s="137">
        <f t="shared" si="4"/>
        <v>7328.3133825944178</v>
      </c>
    </row>
    <row r="22" spans="2:18" ht="19.5" thickBot="1" x14ac:dyDescent="0.35">
      <c r="E22" s="127" t="s">
        <v>857</v>
      </c>
      <c r="F22" s="585" t="s">
        <v>230</v>
      </c>
      <c r="G22" s="586"/>
      <c r="H22" s="143">
        <f>SUM(H6:H21)</f>
        <v>12279100</v>
      </c>
      <c r="I22" s="125">
        <v>2.4630000000000001</v>
      </c>
      <c r="J22" s="129">
        <f t="shared" si="0"/>
        <v>1.53793</v>
      </c>
      <c r="K22" s="458">
        <f>SUM(K6:K21)</f>
        <v>230617.27999999991</v>
      </c>
      <c r="L22" s="127">
        <f>SUM(L6:L21)</f>
        <v>208500</v>
      </c>
      <c r="M22" s="145">
        <f>SUM(M6:M21)</f>
        <v>439117.28000000009</v>
      </c>
      <c r="N22" s="130">
        <v>70500</v>
      </c>
      <c r="O22" s="131">
        <f t="shared" si="1"/>
        <v>1.1766000000000001</v>
      </c>
      <c r="P22" s="138">
        <f>SUM(P6:P21)</f>
        <v>119836.46870161859</v>
      </c>
    </row>
    <row r="23" spans="2:18" ht="15.75" thickBot="1" x14ac:dyDescent="0.3">
      <c r="N23" s="587" t="s">
        <v>274</v>
      </c>
      <c r="O23" s="588"/>
      <c r="P23" s="139">
        <f>P22/E21</f>
        <v>7489.779293851162</v>
      </c>
    </row>
    <row r="24" spans="2:18" ht="15" customHeight="1" thickBot="1" x14ac:dyDescent="0.3">
      <c r="I24" s="15"/>
      <c r="J24" s="16"/>
      <c r="K24" s="16"/>
      <c r="N24" s="17"/>
    </row>
    <row r="25" spans="2:18" ht="15" customHeight="1" thickBot="1" x14ac:dyDescent="0.3">
      <c r="F25" s="584" t="s">
        <v>59</v>
      </c>
      <c r="G25" s="584"/>
      <c r="R25" s="267"/>
    </row>
    <row r="26" spans="2:18" ht="15.75" thickBot="1" x14ac:dyDescent="0.3">
      <c r="F26" s="584"/>
      <c r="G26" s="584"/>
      <c r="I26" s="19"/>
      <c r="J26" s="596" t="s">
        <v>62</v>
      </c>
      <c r="K26" s="597"/>
      <c r="L26" s="598"/>
      <c r="N26" s="135"/>
    </row>
    <row r="27" spans="2:18" ht="15.75" thickBot="1" x14ac:dyDescent="0.3">
      <c r="F27" s="18" t="s">
        <v>60</v>
      </c>
      <c r="G27" s="11">
        <v>8.33</v>
      </c>
      <c r="J27" s="592" t="s">
        <v>64</v>
      </c>
      <c r="K27" s="592"/>
      <c r="L27" s="147">
        <v>365</v>
      </c>
    </row>
    <row r="28" spans="2:18" ht="15.75" thickBot="1" x14ac:dyDescent="0.3">
      <c r="F28" s="18" t="s">
        <v>61</v>
      </c>
      <c r="G28" s="11">
        <v>4.17</v>
      </c>
      <c r="I28" s="146"/>
      <c r="J28" s="593" t="s">
        <v>66</v>
      </c>
      <c r="K28" s="593"/>
      <c r="L28" s="148">
        <v>-71</v>
      </c>
      <c r="P28" s="50"/>
    </row>
    <row r="29" spans="2:18" ht="16.5" customHeight="1" thickBot="1" x14ac:dyDescent="0.3">
      <c r="F29" s="18" t="s">
        <v>63</v>
      </c>
      <c r="G29" s="11">
        <v>8.33</v>
      </c>
      <c r="J29" s="593" t="s">
        <v>68</v>
      </c>
      <c r="K29" s="593"/>
      <c r="L29" s="148">
        <f>SUM(L27:L28)</f>
        <v>294</v>
      </c>
      <c r="O29" s="268"/>
      <c r="P29" s="146"/>
    </row>
    <row r="30" spans="2:18" ht="15.75" thickBot="1" x14ac:dyDescent="0.3">
      <c r="F30" s="18" t="s">
        <v>65</v>
      </c>
      <c r="G30" s="11">
        <v>1</v>
      </c>
      <c r="J30" s="594" t="s">
        <v>70</v>
      </c>
      <c r="K30" s="594"/>
      <c r="L30" s="148">
        <f>L29/12</f>
        <v>24.5</v>
      </c>
      <c r="O30" s="146"/>
      <c r="P30" s="146"/>
    </row>
    <row r="31" spans="2:18" ht="15.75" thickBot="1" x14ac:dyDescent="0.3">
      <c r="F31" s="18" t="s">
        <v>67</v>
      </c>
      <c r="G31" s="11">
        <v>8.5</v>
      </c>
      <c r="J31" s="593" t="s">
        <v>71</v>
      </c>
      <c r="K31" s="593"/>
      <c r="L31" s="149">
        <f>L29*8</f>
        <v>2352</v>
      </c>
      <c r="O31" s="146"/>
      <c r="P31" s="269"/>
    </row>
    <row r="32" spans="2:18" ht="15.75" thickBot="1" x14ac:dyDescent="0.3">
      <c r="B32">
        <v>3153706387</v>
      </c>
      <c r="F32" s="18" t="s">
        <v>69</v>
      </c>
      <c r="G32" s="11">
        <v>12</v>
      </c>
      <c r="J32" s="593" t="s">
        <v>73</v>
      </c>
      <c r="K32" s="593"/>
      <c r="L32" s="124">
        <f>L31/12</f>
        <v>196</v>
      </c>
    </row>
    <row r="33" spans="6:19" ht="15.75" customHeight="1" thickBot="1" x14ac:dyDescent="0.3">
      <c r="F33" s="18" t="s">
        <v>271</v>
      </c>
      <c r="G33" s="27">
        <v>4</v>
      </c>
      <c r="J33" s="594" t="s">
        <v>276</v>
      </c>
      <c r="K33" s="594"/>
      <c r="L33" s="150">
        <v>0.87</v>
      </c>
    </row>
    <row r="34" spans="6:19" ht="15.75" thickBot="1" x14ac:dyDescent="0.3">
      <c r="F34" s="28" t="s">
        <v>272</v>
      </c>
      <c r="G34" s="125">
        <v>3</v>
      </c>
      <c r="J34" s="595" t="s">
        <v>1088</v>
      </c>
      <c r="K34" s="595"/>
      <c r="L34" s="226">
        <f>L32*L33</f>
        <v>170.52</v>
      </c>
    </row>
    <row r="35" spans="6:19" ht="15.75" thickBot="1" x14ac:dyDescent="0.3">
      <c r="F35" s="28" t="s">
        <v>273</v>
      </c>
      <c r="G35" s="125">
        <v>2</v>
      </c>
      <c r="J35" s="595" t="s">
        <v>1089</v>
      </c>
      <c r="K35" s="595"/>
      <c r="L35" s="151">
        <f>L31*L33</f>
        <v>2046.24</v>
      </c>
    </row>
    <row r="36" spans="6:19" ht="15.75" thickBot="1" x14ac:dyDescent="0.3">
      <c r="F36" s="26"/>
      <c r="G36" s="27">
        <f>SUM(G27:G35)</f>
        <v>51.33</v>
      </c>
      <c r="I36" s="37"/>
      <c r="J36" s="37"/>
      <c r="K36" s="122"/>
      <c r="L36" s="37"/>
      <c r="M36" s="122"/>
      <c r="N36" s="37"/>
      <c r="O36" s="37"/>
      <c r="P36" s="37"/>
      <c r="Q36" s="37"/>
      <c r="R36" s="37"/>
      <c r="S36" s="37"/>
    </row>
    <row r="37" spans="6:19" ht="15.75" thickBot="1" x14ac:dyDescent="0.3">
      <c r="F37" s="28" t="s">
        <v>74</v>
      </c>
      <c r="G37" s="29">
        <f>G36/100</f>
        <v>0.51329999999999998</v>
      </c>
    </row>
    <row r="38" spans="6:19" x14ac:dyDescent="0.25">
      <c r="I38" s="37"/>
      <c r="J38" s="37"/>
      <c r="K38" s="122"/>
      <c r="L38" s="37"/>
      <c r="M38" s="122"/>
      <c r="N38" s="37"/>
      <c r="O38" s="37"/>
    </row>
    <row r="40" spans="6:19" ht="15" customHeight="1" thickBot="1" x14ac:dyDescent="0.3"/>
    <row r="41" spans="6:19" ht="15" customHeight="1" thickBot="1" x14ac:dyDescent="0.3">
      <c r="F41" s="584" t="s">
        <v>76</v>
      </c>
      <c r="G41" s="584"/>
      <c r="J41" s="37"/>
      <c r="K41" s="122"/>
    </row>
    <row r="42" spans="6:19" ht="15.75" thickBot="1" x14ac:dyDescent="0.3">
      <c r="F42" s="584"/>
      <c r="G42" s="584"/>
      <c r="I42" s="599" t="s">
        <v>235</v>
      </c>
      <c r="J42" s="599"/>
      <c r="K42" s="599"/>
      <c r="L42" s="599"/>
      <c r="M42" s="599"/>
      <c r="N42" s="599"/>
      <c r="O42" s="599"/>
    </row>
    <row r="43" spans="6:19" ht="15.75" thickBot="1" x14ac:dyDescent="0.3">
      <c r="F43" s="18" t="s">
        <v>60</v>
      </c>
      <c r="G43" s="30">
        <v>8.33</v>
      </c>
      <c r="I43" s="599"/>
      <c r="J43" s="599"/>
      <c r="K43" s="599"/>
      <c r="L43" s="599"/>
      <c r="M43" s="599"/>
      <c r="N43" s="599"/>
      <c r="O43" s="599"/>
    </row>
    <row r="44" spans="6:19" ht="15.75" thickBot="1" x14ac:dyDescent="0.3">
      <c r="F44" s="18" t="s">
        <v>81</v>
      </c>
      <c r="G44" s="30">
        <v>8.33</v>
      </c>
      <c r="I44" s="599"/>
      <c r="J44" s="599"/>
      <c r="K44" s="599"/>
      <c r="L44" s="599"/>
      <c r="M44" s="599"/>
      <c r="N44" s="599"/>
      <c r="O44" s="599"/>
    </row>
    <row r="45" spans="6:19" ht="15.75" thickBot="1" x14ac:dyDescent="0.3">
      <c r="F45" s="18" t="s">
        <v>65</v>
      </c>
      <c r="G45" s="30">
        <v>1</v>
      </c>
      <c r="I45" s="599"/>
      <c r="J45" s="599"/>
      <c r="K45" s="599"/>
      <c r="L45" s="599"/>
      <c r="M45" s="599"/>
      <c r="N45" s="599"/>
      <c r="O45" s="599"/>
    </row>
    <row r="46" spans="6:19" ht="15.75" thickBot="1" x14ac:dyDescent="0.3">
      <c r="F46" s="31"/>
      <c r="G46" s="32">
        <f>SUM(G43:G45)</f>
        <v>17.66</v>
      </c>
      <c r="I46" s="599"/>
      <c r="J46" s="599"/>
      <c r="K46" s="599"/>
      <c r="L46" s="599"/>
      <c r="M46" s="599"/>
      <c r="N46" s="599"/>
      <c r="O46" s="599"/>
    </row>
    <row r="47" spans="6:19" ht="15.75" thickBot="1" x14ac:dyDescent="0.3">
      <c r="F47" s="33" t="s">
        <v>74</v>
      </c>
      <c r="G47" s="34">
        <v>0.17660000000000001</v>
      </c>
      <c r="I47" t="s">
        <v>78</v>
      </c>
      <c r="J47" s="37" t="s">
        <v>79</v>
      </c>
      <c r="K47" s="122"/>
      <c r="L47">
        <f>L32*87%</f>
        <v>170.52</v>
      </c>
      <c r="O47" s="600" t="s">
        <v>80</v>
      </c>
      <c r="P47" s="600"/>
    </row>
    <row r="48" spans="6:19" ht="15.75" thickBot="1" x14ac:dyDescent="0.3">
      <c r="F48" s="35"/>
      <c r="G48" s="36"/>
    </row>
    <row r="49" spans="12:12" x14ac:dyDescent="0.25">
      <c r="L49">
        <f>+L47*16</f>
        <v>2728.32</v>
      </c>
    </row>
  </sheetData>
  <sortState ref="F6:G21">
    <sortCondition ref="F6:F21"/>
  </sortState>
  <mergeCells count="18">
    <mergeCell ref="I42:O46"/>
    <mergeCell ref="O47:P47"/>
    <mergeCell ref="F4:P4"/>
    <mergeCell ref="F25:G26"/>
    <mergeCell ref="F41:G42"/>
    <mergeCell ref="F22:G22"/>
    <mergeCell ref="N23:O23"/>
    <mergeCell ref="K5:M5"/>
    <mergeCell ref="J27:K27"/>
    <mergeCell ref="J28:K28"/>
    <mergeCell ref="J29:K29"/>
    <mergeCell ref="J30:K30"/>
    <mergeCell ref="J31:K31"/>
    <mergeCell ref="J32:K32"/>
    <mergeCell ref="J33:K33"/>
    <mergeCell ref="J34:K34"/>
    <mergeCell ref="J26:L26"/>
    <mergeCell ref="J35:K35"/>
  </mergeCells>
  <pageMargins left="0.70000000000000007" right="0.70000000000000007" top="0.75" bottom="0.75" header="0.30000000000000004" footer="0.30000000000000004"/>
  <pageSetup paperSize="9" fitToWidth="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00B0F0"/>
  </sheetPr>
  <dimension ref="B5:P37"/>
  <sheetViews>
    <sheetView topLeftCell="C2" zoomScaleNormal="100" workbookViewId="0">
      <selection activeCell="E6" sqref="E6:P13"/>
    </sheetView>
  </sheetViews>
  <sheetFormatPr baseColWidth="10" defaultRowHeight="15" x14ac:dyDescent="0.25"/>
  <cols>
    <col min="1" max="1" width="11.42578125" customWidth="1"/>
    <col min="2" max="2" width="26.28515625" customWidth="1"/>
    <col min="3" max="3" width="11.42578125" customWidth="1"/>
    <col min="4" max="4" width="17.42578125" customWidth="1"/>
    <col min="5" max="5" width="4.42578125" customWidth="1"/>
    <col min="6" max="6" width="31.7109375" customWidth="1"/>
    <col min="7" max="7" width="22.42578125" customWidth="1"/>
    <col min="8" max="8" width="18.85546875" customWidth="1"/>
    <col min="9" max="9" width="11.42578125" customWidth="1"/>
    <col min="13" max="13" width="13.28515625" customWidth="1"/>
  </cols>
  <sheetData>
    <row r="5" spans="2:16" ht="15.75" thickBot="1" x14ac:dyDescent="0.3">
      <c r="F5" s="602" t="s">
        <v>82</v>
      </c>
      <c r="G5" s="602"/>
      <c r="H5" s="602"/>
      <c r="I5" s="602"/>
      <c r="J5" s="602"/>
      <c r="K5" s="602"/>
      <c r="L5" s="602"/>
      <c r="M5" s="602"/>
    </row>
    <row r="6" spans="2:16" ht="36.75" thickBot="1" x14ac:dyDescent="0.3">
      <c r="E6" s="102" t="s">
        <v>251</v>
      </c>
      <c r="F6" s="96" t="s">
        <v>236</v>
      </c>
      <c r="G6" s="8" t="s">
        <v>237</v>
      </c>
      <c r="H6" s="8" t="s">
        <v>238</v>
      </c>
      <c r="I6" s="8" t="s">
        <v>239</v>
      </c>
      <c r="J6" s="8" t="s">
        <v>240</v>
      </c>
      <c r="K6" s="589" t="s">
        <v>241</v>
      </c>
      <c r="L6" s="590"/>
      <c r="M6" s="591"/>
      <c r="N6" s="8" t="s">
        <v>242</v>
      </c>
      <c r="O6" s="8" t="s">
        <v>243</v>
      </c>
      <c r="P6" s="9" t="s">
        <v>244</v>
      </c>
    </row>
    <row r="7" spans="2:16" x14ac:dyDescent="0.25">
      <c r="E7" s="103">
        <v>1</v>
      </c>
      <c r="F7" s="86" t="s">
        <v>83</v>
      </c>
      <c r="G7" s="152" t="s">
        <v>226</v>
      </c>
      <c r="H7" s="157">
        <v>820000</v>
      </c>
      <c r="I7" s="158">
        <v>2.4630000000000001</v>
      </c>
      <c r="J7" s="159">
        <f t="shared" ref="J7:J12" si="0">(($C$25+I7)/100)+1</f>
        <v>1.53793</v>
      </c>
      <c r="K7" s="160">
        <f>172962.96/12</f>
        <v>14413.58</v>
      </c>
      <c r="L7" s="155"/>
      <c r="M7" s="236">
        <f>K7+L7</f>
        <v>14413.58</v>
      </c>
      <c r="N7" s="10">
        <v>70500</v>
      </c>
      <c r="O7" s="10">
        <f t="shared" ref="O7:O12" si="1">1+$C$36</f>
        <v>1.1766000000000001</v>
      </c>
      <c r="P7" s="38">
        <f>((H7*J7)+(N7*O7)+M7)/$G$25</f>
        <v>7966.6108374384248</v>
      </c>
    </row>
    <row r="8" spans="2:16" ht="19.5" customHeight="1" x14ac:dyDescent="0.25">
      <c r="E8" s="103">
        <v>2</v>
      </c>
      <c r="F8" s="86" t="s">
        <v>225</v>
      </c>
      <c r="G8" s="152" t="s">
        <v>228</v>
      </c>
      <c r="H8" s="157">
        <v>929500</v>
      </c>
      <c r="I8" s="158">
        <v>2.4630000000000001</v>
      </c>
      <c r="J8" s="159">
        <f t="shared" si="0"/>
        <v>1.53793</v>
      </c>
      <c r="K8" s="160">
        <f t="shared" ref="K8:K11" si="2">172962.96/12</f>
        <v>14413.58</v>
      </c>
      <c r="L8" s="155">
        <v>12000</v>
      </c>
      <c r="M8" s="144">
        <f t="shared" ref="M8:M11" si="3">K8+L8</f>
        <v>26413.58</v>
      </c>
      <c r="N8" s="10">
        <v>70500</v>
      </c>
      <c r="O8" s="10">
        <f t="shared" si="1"/>
        <v>1.1766000000000001</v>
      </c>
      <c r="P8" s="38">
        <f>((H8*J8)+(N8*O8)+M8)/$G$25</f>
        <v>9024.5708128078822</v>
      </c>
    </row>
    <row r="9" spans="2:16" ht="19.5" customHeight="1" x14ac:dyDescent="0.25">
      <c r="E9" s="103">
        <v>3</v>
      </c>
      <c r="F9" s="86" t="s">
        <v>84</v>
      </c>
      <c r="G9" s="153" t="s">
        <v>227</v>
      </c>
      <c r="H9" s="157">
        <v>611300</v>
      </c>
      <c r="I9" s="158">
        <v>2.4630000000000001</v>
      </c>
      <c r="J9" s="159">
        <f t="shared" si="0"/>
        <v>1.53793</v>
      </c>
      <c r="K9" s="160">
        <f t="shared" si="2"/>
        <v>14413.58</v>
      </c>
      <c r="L9" s="155"/>
      <c r="M9" s="144">
        <f t="shared" si="3"/>
        <v>14413.58</v>
      </c>
      <c r="N9" s="10">
        <v>70500</v>
      </c>
      <c r="O9" s="10">
        <f t="shared" si="1"/>
        <v>1.1766000000000001</v>
      </c>
      <c r="P9" s="38">
        <f>((H9*J9)+(N9*O9)+M9)/$G$25</f>
        <v>6084.3331515364771</v>
      </c>
    </row>
    <row r="10" spans="2:16" ht="19.5" customHeight="1" x14ac:dyDescent="0.25">
      <c r="E10" s="103">
        <v>4</v>
      </c>
      <c r="F10" s="86" t="s">
        <v>85</v>
      </c>
      <c r="G10" s="152" t="s">
        <v>224</v>
      </c>
      <c r="H10" s="161">
        <v>957000</v>
      </c>
      <c r="I10" s="158">
        <v>2.4630000000000001</v>
      </c>
      <c r="J10" s="159">
        <f t="shared" si="0"/>
        <v>1.53793</v>
      </c>
      <c r="K10" s="160">
        <f t="shared" si="2"/>
        <v>14413.58</v>
      </c>
      <c r="L10" s="156">
        <v>68500</v>
      </c>
      <c r="M10" s="144">
        <f t="shared" si="3"/>
        <v>82913.58</v>
      </c>
      <c r="N10" s="10">
        <v>70500</v>
      </c>
      <c r="O10" s="10">
        <f t="shared" si="1"/>
        <v>1.1766000000000001</v>
      </c>
      <c r="P10" s="38">
        <f>((H10*J10)+(N10*O10)+M10)/$G$25</f>
        <v>9603.9343771991553</v>
      </c>
    </row>
    <row r="11" spans="2:16" ht="22.5" customHeight="1" thickBot="1" x14ac:dyDescent="0.3">
      <c r="E11" s="105">
        <v>5</v>
      </c>
      <c r="F11" s="89" t="s">
        <v>86</v>
      </c>
      <c r="G11" s="154" t="s">
        <v>229</v>
      </c>
      <c r="H11" s="157">
        <v>929500</v>
      </c>
      <c r="I11" s="158">
        <v>2.4630000000000001</v>
      </c>
      <c r="J11" s="159">
        <f t="shared" si="0"/>
        <v>1.53793</v>
      </c>
      <c r="K11" s="160">
        <f t="shared" si="2"/>
        <v>14413.58</v>
      </c>
      <c r="L11" s="155"/>
      <c r="M11" s="144">
        <f t="shared" si="3"/>
        <v>14413.58</v>
      </c>
      <c r="N11" s="10">
        <v>70500</v>
      </c>
      <c r="O11" s="10">
        <f t="shared" si="1"/>
        <v>1.1766000000000001</v>
      </c>
      <c r="P11" s="38">
        <f>((H11*J11)+(N11*O11)+M11)/$G$25</f>
        <v>8954.197836030964</v>
      </c>
    </row>
    <row r="12" spans="2:16" ht="22.5" customHeight="1" thickBot="1" x14ac:dyDescent="0.3">
      <c r="E12" s="604" t="s">
        <v>230</v>
      </c>
      <c r="F12" s="605"/>
      <c r="G12" s="605"/>
      <c r="H12" s="157">
        <f>SUM(H7:H11)</f>
        <v>4247300</v>
      </c>
      <c r="I12" s="158">
        <v>2.4630000000000001</v>
      </c>
      <c r="J12" s="159">
        <f t="shared" si="0"/>
        <v>1.53793</v>
      </c>
      <c r="K12" s="234">
        <f>SUM(K7:K11)</f>
        <v>72067.899999999994</v>
      </c>
      <c r="L12" s="155">
        <f>SUM(L7:L11)</f>
        <v>80500</v>
      </c>
      <c r="M12" s="106">
        <f>SUM(M7:M11)</f>
        <v>152567.9</v>
      </c>
      <c r="N12" s="107">
        <f>SUM(N7:N11)</f>
        <v>352500</v>
      </c>
      <c r="O12" s="107">
        <f t="shared" si="1"/>
        <v>1.1766000000000001</v>
      </c>
      <c r="P12" s="108">
        <f>SUM(P7:P11)</f>
        <v>41633.647015012903</v>
      </c>
    </row>
    <row r="13" spans="2:16" ht="15.75" thickBot="1" x14ac:dyDescent="0.3">
      <c r="N13" s="601" t="s">
        <v>274</v>
      </c>
      <c r="O13" s="586"/>
      <c r="P13" s="235">
        <f>P12/E11</f>
        <v>8326.7294030025805</v>
      </c>
    </row>
    <row r="14" spans="2:16" ht="15.75" thickBot="1" x14ac:dyDescent="0.3">
      <c r="B14" s="584" t="s">
        <v>59</v>
      </c>
      <c r="C14" s="584"/>
    </row>
    <row r="15" spans="2:16" ht="15.75" thickBot="1" x14ac:dyDescent="0.3">
      <c r="B15" s="584"/>
      <c r="C15" s="584"/>
    </row>
    <row r="16" spans="2:16" ht="15.75" thickBot="1" x14ac:dyDescent="0.3">
      <c r="B16" s="18" t="s">
        <v>60</v>
      </c>
      <c r="C16" s="11">
        <v>8.33</v>
      </c>
    </row>
    <row r="17" spans="2:14" ht="15.75" thickBot="1" x14ac:dyDescent="0.3">
      <c r="B17" s="18" t="s">
        <v>61</v>
      </c>
      <c r="C17" s="11">
        <v>4.17</v>
      </c>
      <c r="F17" s="603" t="s">
        <v>62</v>
      </c>
      <c r="G17" s="603"/>
    </row>
    <row r="18" spans="2:14" ht="15.75" thickBot="1" x14ac:dyDescent="0.3">
      <c r="B18" s="18" t="s">
        <v>63</v>
      </c>
      <c r="C18" s="11">
        <v>8.33</v>
      </c>
      <c r="F18" s="151" t="s">
        <v>64</v>
      </c>
      <c r="G18" s="177">
        <v>365</v>
      </c>
      <c r="N18" s="136"/>
    </row>
    <row r="19" spans="2:14" ht="15.75" thickBot="1" x14ac:dyDescent="0.3">
      <c r="B19" s="18" t="s">
        <v>65</v>
      </c>
      <c r="C19" s="11">
        <v>1</v>
      </c>
      <c r="F19" s="151" t="s">
        <v>66</v>
      </c>
      <c r="G19" s="177">
        <v>-71</v>
      </c>
    </row>
    <row r="20" spans="2:14" ht="15.75" thickBot="1" x14ac:dyDescent="0.3">
      <c r="B20" s="18" t="s">
        <v>67</v>
      </c>
      <c r="C20" s="11">
        <v>8.5</v>
      </c>
      <c r="F20" s="151" t="s">
        <v>68</v>
      </c>
      <c r="G20" s="177">
        <f>SUM(G18:G19)</f>
        <v>294</v>
      </c>
    </row>
    <row r="21" spans="2:14" ht="15.75" thickBot="1" x14ac:dyDescent="0.3">
      <c r="B21" s="18" t="s">
        <v>69</v>
      </c>
      <c r="C21" s="11">
        <v>12</v>
      </c>
      <c r="F21" s="228" t="s">
        <v>70</v>
      </c>
      <c r="G21" s="177">
        <f>G20/12</f>
        <v>24.5</v>
      </c>
    </row>
    <row r="22" spans="2:14" ht="15.75" thickBot="1" x14ac:dyDescent="0.3">
      <c r="B22" s="28" t="s">
        <v>272</v>
      </c>
      <c r="C22" s="125">
        <v>3</v>
      </c>
      <c r="F22" s="151" t="s">
        <v>71</v>
      </c>
      <c r="G22" s="177">
        <f>G20*8</f>
        <v>2352</v>
      </c>
    </row>
    <row r="23" spans="2:14" ht="15.75" thickBot="1" x14ac:dyDescent="0.3">
      <c r="B23" s="28" t="s">
        <v>273</v>
      </c>
      <c r="C23" s="125">
        <v>2</v>
      </c>
      <c r="F23" s="151" t="s">
        <v>73</v>
      </c>
      <c r="G23" s="177">
        <f>G22/12</f>
        <v>196</v>
      </c>
    </row>
    <row r="24" spans="2:14" ht="15.75" thickBot="1" x14ac:dyDescent="0.3">
      <c r="B24" s="18" t="s">
        <v>72</v>
      </c>
      <c r="C24" s="11">
        <v>4</v>
      </c>
      <c r="F24" s="229" t="s">
        <v>276</v>
      </c>
      <c r="G24" s="230">
        <v>0.87</v>
      </c>
    </row>
    <row r="25" spans="2:14" ht="15.75" thickBot="1" x14ac:dyDescent="0.3">
      <c r="B25" s="26"/>
      <c r="C25" s="27">
        <f>SUM(C16:C24)</f>
        <v>51.33</v>
      </c>
      <c r="F25" s="151" t="s">
        <v>275</v>
      </c>
      <c r="G25" s="231">
        <f>G23*G24</f>
        <v>170.52</v>
      </c>
    </row>
    <row r="26" spans="2:14" ht="15.75" thickBot="1" x14ac:dyDescent="0.3">
      <c r="B26" s="28" t="s">
        <v>74</v>
      </c>
      <c r="C26" s="29">
        <f>C25/100</f>
        <v>0.51329999999999998</v>
      </c>
      <c r="F26" s="227" t="s">
        <v>1089</v>
      </c>
      <c r="G26" s="177">
        <f>G22*G24</f>
        <v>2046.24</v>
      </c>
      <c r="H26" s="146"/>
    </row>
    <row r="29" spans="2:14" ht="15.75" thickBot="1" x14ac:dyDescent="0.3"/>
    <row r="30" spans="2:14" ht="15.75" thickBot="1" x14ac:dyDescent="0.3">
      <c r="B30" s="584" t="s">
        <v>76</v>
      </c>
      <c r="C30" s="584"/>
      <c r="F30" s="600" t="s">
        <v>75</v>
      </c>
      <c r="G30" s="600"/>
      <c r="H30" s="600"/>
      <c r="I30" s="600"/>
      <c r="J30" s="600"/>
      <c r="K30" s="600"/>
      <c r="L30" s="600"/>
      <c r="M30" s="600"/>
    </row>
    <row r="31" spans="2:14" ht="15.75" thickBot="1" x14ac:dyDescent="0.3">
      <c r="B31" s="584"/>
      <c r="C31" s="584"/>
    </row>
    <row r="32" spans="2:14" ht="15.75" thickBot="1" x14ac:dyDescent="0.3">
      <c r="B32" s="18" t="s">
        <v>60</v>
      </c>
      <c r="C32" s="30">
        <v>8.33</v>
      </c>
      <c r="F32" s="600" t="s">
        <v>77</v>
      </c>
      <c r="G32" s="600"/>
      <c r="H32" s="600"/>
      <c r="I32" s="600"/>
      <c r="J32" s="600"/>
    </row>
    <row r="33" spans="2:10" ht="15.75" thickBot="1" x14ac:dyDescent="0.3">
      <c r="B33" s="18" t="s">
        <v>81</v>
      </c>
      <c r="C33" s="30">
        <v>8.33</v>
      </c>
    </row>
    <row r="34" spans="2:10" ht="15.75" thickBot="1" x14ac:dyDescent="0.3">
      <c r="B34" s="18" t="s">
        <v>65</v>
      </c>
      <c r="C34" s="30">
        <v>1</v>
      </c>
      <c r="F34" t="s">
        <v>78</v>
      </c>
      <c r="G34" s="5" t="s">
        <v>79</v>
      </c>
      <c r="H34">
        <f>G23*87%</f>
        <v>170.52</v>
      </c>
      <c r="J34" t="s">
        <v>80</v>
      </c>
    </row>
    <row r="35" spans="2:10" ht="15.75" thickBot="1" x14ac:dyDescent="0.3">
      <c r="B35" s="31"/>
      <c r="C35" s="32">
        <f>SUM(C32:C34)</f>
        <v>17.66</v>
      </c>
      <c r="G35" s="5"/>
    </row>
    <row r="36" spans="2:10" ht="15.75" thickBot="1" x14ac:dyDescent="0.3">
      <c r="B36" s="33" t="s">
        <v>74</v>
      </c>
      <c r="C36" s="34">
        <f>C35/100</f>
        <v>0.17660000000000001</v>
      </c>
    </row>
    <row r="37" spans="2:10" ht="15.75" thickBot="1" x14ac:dyDescent="0.3">
      <c r="B37" s="35"/>
      <c r="C37" s="36"/>
    </row>
  </sheetData>
  <mergeCells count="9">
    <mergeCell ref="N13:O13"/>
    <mergeCell ref="K6:M6"/>
    <mergeCell ref="B30:C31"/>
    <mergeCell ref="F32:J32"/>
    <mergeCell ref="F5:M5"/>
    <mergeCell ref="B14:C15"/>
    <mergeCell ref="F17:G17"/>
    <mergeCell ref="F30:M30"/>
    <mergeCell ref="E12:G12"/>
  </mergeCells>
  <pageMargins left="0.70000000000000007" right="0.70000000000000007" top="0.75" bottom="0.75" header="0.30000000000000004" footer="0.30000000000000004"/>
  <pageSetup paperSize="9"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rgb="FF00B0F0"/>
  </sheetPr>
  <dimension ref="B4:N34"/>
  <sheetViews>
    <sheetView workbookViewId="0">
      <selection activeCell="C5" sqref="C5:L5"/>
    </sheetView>
  </sheetViews>
  <sheetFormatPr baseColWidth="10" defaultRowHeight="15" x14ac:dyDescent="0.25"/>
  <cols>
    <col min="1" max="1" width="17.5703125" customWidth="1"/>
    <col min="2" max="2" width="6.85546875" customWidth="1"/>
    <col min="3" max="3" width="28.42578125" customWidth="1"/>
    <col min="6" max="6" width="30.5703125" customWidth="1"/>
    <col min="11" max="11" width="17" customWidth="1"/>
    <col min="13" max="13" width="20.5703125" customWidth="1"/>
  </cols>
  <sheetData>
    <row r="4" spans="2:13" ht="15.75" thickBot="1" x14ac:dyDescent="0.3">
      <c r="C4" s="602" t="s">
        <v>234</v>
      </c>
      <c r="D4" s="602"/>
      <c r="E4" s="602"/>
      <c r="F4" s="602"/>
      <c r="G4" s="602"/>
      <c r="H4" s="602"/>
      <c r="I4" s="602"/>
      <c r="J4" s="602"/>
      <c r="K4" s="602"/>
    </row>
    <row r="5" spans="2:13" ht="36.75" thickBot="1" x14ac:dyDescent="0.3">
      <c r="B5" s="102" t="s">
        <v>251</v>
      </c>
      <c r="C5" s="96" t="s">
        <v>236</v>
      </c>
      <c r="D5" s="8" t="s">
        <v>237</v>
      </c>
      <c r="E5" s="8" t="s">
        <v>238</v>
      </c>
      <c r="F5" s="8" t="s">
        <v>239</v>
      </c>
      <c r="G5" s="8" t="s">
        <v>240</v>
      </c>
      <c r="H5" s="589" t="s">
        <v>241</v>
      </c>
      <c r="I5" s="590"/>
      <c r="J5" s="591"/>
      <c r="K5" s="8" t="s">
        <v>242</v>
      </c>
      <c r="L5" s="8" t="s">
        <v>243</v>
      </c>
    </row>
    <row r="6" spans="2:13" x14ac:dyDescent="0.25">
      <c r="B6" s="103">
        <v>1</v>
      </c>
      <c r="C6" s="88"/>
      <c r="D6" s="87"/>
      <c r="E6" s="104"/>
      <c r="F6" s="90"/>
      <c r="G6" s="13"/>
      <c r="I6" s="107"/>
      <c r="J6" s="10"/>
      <c r="K6" s="108"/>
    </row>
    <row r="7" spans="2:13" ht="15.75" thickBot="1" x14ac:dyDescent="0.3">
      <c r="B7" s="103">
        <v>2</v>
      </c>
      <c r="C7" s="88"/>
      <c r="D7" s="85"/>
      <c r="E7" s="92"/>
      <c r="F7" s="90"/>
      <c r="G7" s="13"/>
      <c r="H7" s="92"/>
      <c r="I7" s="107"/>
      <c r="J7" s="10"/>
      <c r="K7" s="108"/>
    </row>
    <row r="8" spans="2:13" ht="15.75" customHeight="1" thickBot="1" x14ac:dyDescent="0.35">
      <c r="B8" s="608" t="s">
        <v>230</v>
      </c>
      <c r="C8" s="585"/>
      <c r="D8" s="585"/>
      <c r="E8" s="93">
        <f>SUM(E6:E7)</f>
        <v>0</v>
      </c>
      <c r="F8" s="90">
        <v>2.3479999999999999</v>
      </c>
      <c r="G8" s="13">
        <f>(($D$22+F8)/100)+1</f>
        <v>1.5367799999999998</v>
      </c>
      <c r="H8" s="93">
        <f>SUM(H6:H7)</f>
        <v>0</v>
      </c>
      <c r="I8" s="93">
        <f>SUM(I6:I7)</f>
        <v>0</v>
      </c>
      <c r="J8" s="10">
        <f>$D$33+1</f>
        <v>1.1766000000000001</v>
      </c>
      <c r="K8" s="113">
        <f>SUM(K6:K7)</f>
        <v>0</v>
      </c>
    </row>
    <row r="9" spans="2:13" ht="15.75" thickBot="1" x14ac:dyDescent="0.3">
      <c r="E9" s="109"/>
      <c r="F9" s="110"/>
      <c r="G9" s="111"/>
      <c r="H9" s="112"/>
      <c r="I9" s="587" t="s">
        <v>274</v>
      </c>
      <c r="J9" s="588"/>
      <c r="K9" s="134">
        <f>K8/B7</f>
        <v>0</v>
      </c>
    </row>
    <row r="10" spans="2:13" ht="15.75" thickBot="1" x14ac:dyDescent="0.3"/>
    <row r="11" spans="2:13" ht="19.5" thickBot="1" x14ac:dyDescent="0.3">
      <c r="C11" s="606" t="s">
        <v>59</v>
      </c>
      <c r="D11" s="607"/>
    </row>
    <row r="12" spans="2:13" ht="15.75" customHeight="1" thickBot="1" x14ac:dyDescent="0.3">
      <c r="C12" s="94"/>
      <c r="D12" s="94"/>
    </row>
    <row r="13" spans="2:13" ht="15.75" customHeight="1" thickBot="1" x14ac:dyDescent="0.3">
      <c r="C13" s="18" t="s">
        <v>60</v>
      </c>
      <c r="D13" s="11">
        <v>8.33</v>
      </c>
    </row>
    <row r="14" spans="2:13" ht="15.75" thickBot="1" x14ac:dyDescent="0.3">
      <c r="C14" s="18" t="s">
        <v>61</v>
      </c>
      <c r="D14" s="11">
        <v>4.17</v>
      </c>
    </row>
    <row r="15" spans="2:13" ht="15.75" customHeight="1" thickBot="1" x14ac:dyDescent="0.3">
      <c r="C15" s="18" t="s">
        <v>63</v>
      </c>
      <c r="D15" s="11">
        <v>8.33</v>
      </c>
      <c r="F15" s="609" t="s">
        <v>62</v>
      </c>
      <c r="G15" s="609"/>
      <c r="J15" s="610" t="s">
        <v>1090</v>
      </c>
      <c r="K15" s="610"/>
      <c r="L15" s="610"/>
      <c r="M15" s="610"/>
    </row>
    <row r="16" spans="2:13" ht="15.75" thickBot="1" x14ac:dyDescent="0.3">
      <c r="C16" s="18" t="s">
        <v>65</v>
      </c>
      <c r="D16" s="11">
        <v>1</v>
      </c>
      <c r="F16" s="20" t="s">
        <v>64</v>
      </c>
      <c r="G16" s="21">
        <v>365</v>
      </c>
      <c r="J16" s="610"/>
      <c r="K16" s="610"/>
      <c r="L16" s="610"/>
      <c r="M16" s="610"/>
    </row>
    <row r="17" spans="3:14" ht="15.75" thickBot="1" x14ac:dyDescent="0.3">
      <c r="C17" s="18" t="s">
        <v>67</v>
      </c>
      <c r="D17" s="11">
        <v>8.5</v>
      </c>
      <c r="F17" s="22" t="s">
        <v>66</v>
      </c>
      <c r="G17" s="23">
        <v>-71</v>
      </c>
      <c r="J17" s="610"/>
      <c r="K17" s="610"/>
      <c r="L17" s="610"/>
      <c r="M17" s="610"/>
    </row>
    <row r="18" spans="3:14" ht="15.75" thickBot="1" x14ac:dyDescent="0.3">
      <c r="C18" s="18" t="s">
        <v>69</v>
      </c>
      <c r="D18" s="11">
        <v>12</v>
      </c>
      <c r="F18" s="22" t="s">
        <v>68</v>
      </c>
      <c r="G18" s="23">
        <f>SUM(G16:G17)</f>
        <v>294</v>
      </c>
      <c r="J18" s="610"/>
      <c r="K18" s="610"/>
      <c r="L18" s="610"/>
      <c r="M18" s="610"/>
    </row>
    <row r="19" spans="3:14" ht="15.75" thickBot="1" x14ac:dyDescent="0.3">
      <c r="C19" s="28" t="s">
        <v>272</v>
      </c>
      <c r="D19" s="125">
        <v>3</v>
      </c>
      <c r="F19" s="24" t="s">
        <v>70</v>
      </c>
      <c r="G19" s="23">
        <f>G18/12</f>
        <v>24.5</v>
      </c>
      <c r="J19" s="610"/>
      <c r="K19" s="610"/>
      <c r="L19" s="610"/>
      <c r="M19" s="610"/>
      <c r="N19" s="25"/>
    </row>
    <row r="20" spans="3:14" ht="15.75" thickBot="1" x14ac:dyDescent="0.3">
      <c r="C20" s="28" t="s">
        <v>273</v>
      </c>
      <c r="D20" s="125">
        <v>2</v>
      </c>
      <c r="F20" s="22" t="s">
        <v>71</v>
      </c>
      <c r="G20" s="97">
        <f>G18*8</f>
        <v>2352</v>
      </c>
      <c r="J20" s="610"/>
      <c r="K20" s="610"/>
      <c r="L20" s="610"/>
      <c r="M20" s="610"/>
    </row>
    <row r="21" spans="3:14" ht="15.75" thickBot="1" x14ac:dyDescent="0.3">
      <c r="C21" s="18" t="s">
        <v>72</v>
      </c>
      <c r="D21" s="11">
        <v>4</v>
      </c>
      <c r="F21" s="98" t="s">
        <v>73</v>
      </c>
      <c r="G21" s="99">
        <f>G20/12</f>
        <v>196</v>
      </c>
    </row>
    <row r="22" spans="3:14" ht="15.75" thickBot="1" x14ac:dyDescent="0.3">
      <c r="C22" s="26"/>
      <c r="D22" s="27">
        <f>SUM(D13:D21)</f>
        <v>51.33</v>
      </c>
      <c r="F22" s="132" t="s">
        <v>276</v>
      </c>
      <c r="G22" s="133">
        <v>0.87</v>
      </c>
    </row>
    <row r="23" spans="3:14" ht="15.75" thickBot="1" x14ac:dyDescent="0.3">
      <c r="C23" s="28" t="s">
        <v>74</v>
      </c>
      <c r="D23" s="29">
        <f>D22/100</f>
        <v>0.51329999999999998</v>
      </c>
      <c r="F23" s="278" t="s">
        <v>275</v>
      </c>
      <c r="G23" s="279">
        <f>G21*G22</f>
        <v>170.52</v>
      </c>
    </row>
    <row r="24" spans="3:14" x14ac:dyDescent="0.25">
      <c r="F24" s="280" t="s">
        <v>1094</v>
      </c>
      <c r="G24" s="270">
        <f>G20*G22</f>
        <v>2046.24</v>
      </c>
      <c r="H24" s="271"/>
      <c r="I24" s="271"/>
      <c r="J24" s="271"/>
      <c r="K24" s="271"/>
      <c r="L24" s="271"/>
      <c r="M24" s="271"/>
      <c r="N24" s="271"/>
    </row>
    <row r="26" spans="3:14" ht="15.75" customHeight="1" thickBot="1" x14ac:dyDescent="0.3">
      <c r="F26" s="600"/>
      <c r="G26" s="600"/>
      <c r="H26" s="600"/>
      <c r="I26" s="600"/>
      <c r="J26" s="600"/>
    </row>
    <row r="27" spans="3:14" ht="15.75" customHeight="1" thickBot="1" x14ac:dyDescent="0.3">
      <c r="C27" s="606" t="s">
        <v>76</v>
      </c>
      <c r="D27" s="607"/>
    </row>
    <row r="28" spans="3:14" ht="19.5" thickBot="1" x14ac:dyDescent="0.3">
      <c r="C28" s="94"/>
      <c r="D28" s="94"/>
      <c r="G28" s="95"/>
    </row>
    <row r="29" spans="3:14" ht="15.75" thickBot="1" x14ac:dyDescent="0.3">
      <c r="C29" s="18" t="s">
        <v>60</v>
      </c>
      <c r="D29" s="30">
        <v>8.33</v>
      </c>
      <c r="G29" s="95"/>
    </row>
    <row r="30" spans="3:14" ht="15.75" thickBot="1" x14ac:dyDescent="0.3">
      <c r="C30" s="18" t="s">
        <v>81</v>
      </c>
      <c r="D30" s="30">
        <v>8.33</v>
      </c>
    </row>
    <row r="31" spans="3:14" ht="15.75" thickBot="1" x14ac:dyDescent="0.3">
      <c r="C31" s="18" t="s">
        <v>65</v>
      </c>
      <c r="D31" s="30">
        <v>1</v>
      </c>
    </row>
    <row r="32" spans="3:14" ht="15.75" thickBot="1" x14ac:dyDescent="0.3">
      <c r="C32" s="31"/>
      <c r="D32" s="32">
        <f>SUM(D29:D31)</f>
        <v>17.66</v>
      </c>
    </row>
    <row r="33" spans="3:4" ht="15.75" thickBot="1" x14ac:dyDescent="0.3">
      <c r="C33" s="33" t="s">
        <v>74</v>
      </c>
      <c r="D33" s="34">
        <f>D32/100</f>
        <v>0.17660000000000001</v>
      </c>
    </row>
    <row r="34" spans="3:4" ht="15.75" thickBot="1" x14ac:dyDescent="0.3">
      <c r="C34" s="35"/>
      <c r="D34" s="36"/>
    </row>
  </sheetData>
  <mergeCells count="9">
    <mergeCell ref="F26:J26"/>
    <mergeCell ref="C11:D11"/>
    <mergeCell ref="C27:D27"/>
    <mergeCell ref="C4:K4"/>
    <mergeCell ref="B8:D8"/>
    <mergeCell ref="F15:G15"/>
    <mergeCell ref="I9:J9"/>
    <mergeCell ref="J15:M20"/>
    <mergeCell ref="H5:J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rgb="FF00B0F0"/>
  </sheetPr>
  <dimension ref="B7:P40"/>
  <sheetViews>
    <sheetView topLeftCell="C5" zoomScale="120" zoomScaleNormal="120" workbookViewId="0">
      <selection activeCell="E8" sqref="E8:P16"/>
    </sheetView>
  </sheetViews>
  <sheetFormatPr baseColWidth="10" defaultRowHeight="15" x14ac:dyDescent="0.25"/>
  <cols>
    <col min="1" max="1" width="11.42578125" customWidth="1"/>
    <col min="2" max="2" width="24" customWidth="1"/>
    <col min="3" max="3" width="11.42578125" customWidth="1"/>
    <col min="4" max="4" width="10.140625" customWidth="1"/>
    <col min="5" max="5" width="3.7109375" customWidth="1"/>
    <col min="6" max="6" width="28" customWidth="1"/>
    <col min="7" max="7" width="19.7109375" customWidth="1"/>
    <col min="8" max="8" width="14.7109375" customWidth="1"/>
    <col min="9" max="9" width="11.42578125" customWidth="1"/>
    <col min="11" max="11" width="12.5703125" bestFit="1" customWidth="1"/>
  </cols>
  <sheetData>
    <row r="7" spans="5:16" ht="15.75" thickBot="1" x14ac:dyDescent="0.3">
      <c r="E7" s="611" t="s">
        <v>233</v>
      </c>
      <c r="F7" s="611"/>
      <c r="G7" s="611"/>
      <c r="H7" s="611"/>
      <c r="I7" s="611"/>
      <c r="J7" s="611"/>
      <c r="K7" s="611"/>
      <c r="L7" s="611"/>
      <c r="M7" s="611"/>
      <c r="N7" s="611"/>
      <c r="O7" s="611"/>
      <c r="P7" s="611"/>
    </row>
    <row r="8" spans="5:16" ht="22.5" customHeight="1" thickBot="1" x14ac:dyDescent="0.3">
      <c r="E8" s="532" t="s">
        <v>251</v>
      </c>
      <c r="F8" s="533" t="s">
        <v>236</v>
      </c>
      <c r="G8" s="534" t="s">
        <v>237</v>
      </c>
      <c r="H8" s="534" t="s">
        <v>238</v>
      </c>
      <c r="I8" s="534" t="s">
        <v>239</v>
      </c>
      <c r="J8" s="534" t="s">
        <v>240</v>
      </c>
      <c r="K8" s="617" t="s">
        <v>241</v>
      </c>
      <c r="L8" s="618"/>
      <c r="M8" s="619"/>
      <c r="N8" s="534" t="s">
        <v>242</v>
      </c>
      <c r="O8" s="534" t="s">
        <v>243</v>
      </c>
      <c r="P8" s="535" t="s">
        <v>33</v>
      </c>
    </row>
    <row r="9" spans="5:16" ht="17.25" customHeight="1" x14ac:dyDescent="0.25">
      <c r="E9" s="536">
        <v>1</v>
      </c>
      <c r="F9" s="537" t="s">
        <v>231</v>
      </c>
      <c r="G9" s="538" t="s">
        <v>232</v>
      </c>
      <c r="H9" s="539">
        <v>1129500</v>
      </c>
      <c r="I9" s="540">
        <v>1.04</v>
      </c>
      <c r="J9" s="541">
        <f t="shared" ref="J9:J15" si="0">(($C$28+I9)/100)+1</f>
        <v>1.5236999999999998</v>
      </c>
      <c r="K9" s="542">
        <f>172962.96/12</f>
        <v>14413.58</v>
      </c>
      <c r="L9" s="543"/>
      <c r="M9" s="544">
        <f>K9+L9</f>
        <v>14413.58</v>
      </c>
      <c r="N9" s="543">
        <v>70500</v>
      </c>
      <c r="O9" s="543">
        <f t="shared" ref="M9:O15" si="1">1+$C$39</f>
        <v>1.1766000000000001</v>
      </c>
      <c r="P9" s="545">
        <f t="shared" ref="P9:P14" si="2">((H9*J9)+(N9*O9)+M9)/$G$26</f>
        <v>9277.4644387755106</v>
      </c>
    </row>
    <row r="10" spans="5:16" ht="18" customHeight="1" x14ac:dyDescent="0.25">
      <c r="E10" s="536">
        <v>2</v>
      </c>
      <c r="F10" s="546" t="s">
        <v>45</v>
      </c>
      <c r="G10" s="547" t="s">
        <v>46</v>
      </c>
      <c r="H10" s="548">
        <v>1077700</v>
      </c>
      <c r="I10" s="540">
        <v>1.04</v>
      </c>
      <c r="J10" s="541">
        <f t="shared" si="0"/>
        <v>1.5236999999999998</v>
      </c>
      <c r="K10" s="542">
        <f t="shared" ref="K10:K14" si="3">172962.96/12</f>
        <v>14413.58</v>
      </c>
      <c r="L10" s="547"/>
      <c r="M10" s="544">
        <f t="shared" ref="M10:M14" si="4">K10+L10</f>
        <v>14413.58</v>
      </c>
      <c r="N10" s="543">
        <v>70500</v>
      </c>
      <c r="O10" s="543">
        <f t="shared" si="1"/>
        <v>1.1766000000000001</v>
      </c>
      <c r="P10" s="545">
        <f t="shared" si="2"/>
        <v>8874.7722959183666</v>
      </c>
    </row>
    <row r="11" spans="5:16" ht="20.25" customHeight="1" x14ac:dyDescent="0.25">
      <c r="E11" s="536">
        <v>3</v>
      </c>
      <c r="F11" s="546" t="s">
        <v>56</v>
      </c>
      <c r="G11" s="547" t="s">
        <v>57</v>
      </c>
      <c r="H11" s="548">
        <v>898800</v>
      </c>
      <c r="I11" s="540">
        <v>1.04</v>
      </c>
      <c r="J11" s="541">
        <f t="shared" si="0"/>
        <v>1.5236999999999998</v>
      </c>
      <c r="K11" s="542">
        <f t="shared" si="3"/>
        <v>14413.58</v>
      </c>
      <c r="L11" s="547"/>
      <c r="M11" s="544">
        <f t="shared" si="4"/>
        <v>14413.58</v>
      </c>
      <c r="N11" s="543">
        <v>70500</v>
      </c>
      <c r="O11" s="543">
        <f t="shared" si="1"/>
        <v>1.1766000000000001</v>
      </c>
      <c r="P11" s="545">
        <f t="shared" si="2"/>
        <v>7484.0073469387753</v>
      </c>
    </row>
    <row r="12" spans="5:16" ht="21" customHeight="1" x14ac:dyDescent="0.25">
      <c r="E12" s="536">
        <v>4</v>
      </c>
      <c r="F12" s="546" t="s">
        <v>247</v>
      </c>
      <c r="G12" s="547" t="s">
        <v>44</v>
      </c>
      <c r="H12" s="549">
        <v>779500</v>
      </c>
      <c r="I12" s="540">
        <v>1.04</v>
      </c>
      <c r="J12" s="541">
        <f t="shared" si="0"/>
        <v>1.5236999999999998</v>
      </c>
      <c r="K12" s="542">
        <f t="shared" si="3"/>
        <v>14413.58</v>
      </c>
      <c r="L12" s="550">
        <v>68500</v>
      </c>
      <c r="M12" s="544">
        <f t="shared" si="4"/>
        <v>82913.58</v>
      </c>
      <c r="N12" s="543">
        <v>70500</v>
      </c>
      <c r="O12" s="543">
        <f t="shared" si="1"/>
        <v>1.1766000000000001</v>
      </c>
      <c r="P12" s="545">
        <f t="shared" si="2"/>
        <v>6906.061377551021</v>
      </c>
    </row>
    <row r="13" spans="5:16" ht="19.5" customHeight="1" x14ac:dyDescent="0.25">
      <c r="E13" s="536">
        <v>5</v>
      </c>
      <c r="F13" s="551" t="s">
        <v>34</v>
      </c>
      <c r="G13" s="543" t="s">
        <v>35</v>
      </c>
      <c r="H13" s="548">
        <v>1503800</v>
      </c>
      <c r="I13" s="540">
        <v>1.04</v>
      </c>
      <c r="J13" s="541">
        <f t="shared" si="0"/>
        <v>1.5236999999999998</v>
      </c>
      <c r="K13" s="542">
        <f t="shared" si="3"/>
        <v>14413.58</v>
      </c>
      <c r="L13" s="547"/>
      <c r="M13" s="544">
        <f t="shared" si="4"/>
        <v>14413.58</v>
      </c>
      <c r="N13" s="543"/>
      <c r="O13" s="543">
        <f t="shared" si="1"/>
        <v>1.1766000000000001</v>
      </c>
      <c r="P13" s="545">
        <f t="shared" si="2"/>
        <v>11764.049183673467</v>
      </c>
    </row>
    <row r="14" spans="5:16" ht="18" customHeight="1" thickBot="1" x14ac:dyDescent="0.3">
      <c r="E14" s="552">
        <v>6</v>
      </c>
      <c r="F14" s="553" t="s">
        <v>252</v>
      </c>
      <c r="G14" s="554" t="s">
        <v>253</v>
      </c>
      <c r="H14" s="555">
        <v>5000000</v>
      </c>
      <c r="I14" s="540">
        <v>1.04</v>
      </c>
      <c r="J14" s="541">
        <f t="shared" si="0"/>
        <v>1.5236999999999998</v>
      </c>
      <c r="K14" s="542">
        <f t="shared" si="3"/>
        <v>14413.58</v>
      </c>
      <c r="L14" s="556"/>
      <c r="M14" s="544">
        <f t="shared" si="4"/>
        <v>14413.58</v>
      </c>
      <c r="N14" s="543"/>
      <c r="O14" s="543">
        <f t="shared" si="1"/>
        <v>1.1766000000000001</v>
      </c>
      <c r="P14" s="557">
        <f t="shared" si="2"/>
        <v>38943.436632653058</v>
      </c>
    </row>
    <row r="15" spans="5:16" ht="15.75" customHeight="1" thickBot="1" x14ac:dyDescent="0.3">
      <c r="E15" s="612" t="s">
        <v>230</v>
      </c>
      <c r="F15" s="613"/>
      <c r="G15" s="614"/>
      <c r="H15" s="558">
        <f>SUM(H9:H14)</f>
        <v>10389300</v>
      </c>
      <c r="I15" s="559">
        <v>1.04</v>
      </c>
      <c r="J15" s="560">
        <f t="shared" si="0"/>
        <v>1.5236999999999998</v>
      </c>
      <c r="K15" s="561">
        <f>SUM(K9:K14)</f>
        <v>86481.48</v>
      </c>
      <c r="L15" s="562">
        <f>SUM(L9:L14)</f>
        <v>68500</v>
      </c>
      <c r="M15" s="538">
        <f t="shared" si="1"/>
        <v>1.1766000000000001</v>
      </c>
      <c r="N15" s="563">
        <f>SUM(N9:N14)</f>
        <v>282000</v>
      </c>
      <c r="O15" s="564">
        <f t="shared" si="1"/>
        <v>1.1766000000000001</v>
      </c>
      <c r="P15" s="565">
        <f>SUM(P9:P14)</f>
        <v>83249.791275510201</v>
      </c>
    </row>
    <row r="16" spans="5:16" ht="16.5" thickBot="1" x14ac:dyDescent="0.3">
      <c r="E16" s="566"/>
      <c r="F16" s="566"/>
      <c r="G16" s="566"/>
      <c r="H16" s="566"/>
      <c r="I16" s="566"/>
      <c r="J16" s="566"/>
      <c r="K16" s="566"/>
      <c r="L16" s="566"/>
      <c r="M16" s="566"/>
      <c r="N16" s="615" t="s">
        <v>274</v>
      </c>
      <c r="O16" s="616"/>
      <c r="P16" s="567">
        <f>P15/E14</f>
        <v>13874.965212585033</v>
      </c>
    </row>
    <row r="17" spans="2:16" ht="16.5" thickBot="1" x14ac:dyDescent="0.3">
      <c r="B17" s="584" t="s">
        <v>59</v>
      </c>
      <c r="C17" s="584"/>
      <c r="E17" s="566"/>
      <c r="F17" s="566"/>
      <c r="G17" s="566"/>
      <c r="H17" s="566"/>
      <c r="I17" s="566"/>
      <c r="J17" s="566"/>
      <c r="K17" s="566"/>
      <c r="L17" s="566"/>
      <c r="M17" s="566"/>
      <c r="N17" s="566"/>
      <c r="O17" s="566"/>
      <c r="P17" s="566"/>
    </row>
    <row r="18" spans="2:16" ht="15.75" thickBot="1" x14ac:dyDescent="0.3">
      <c r="B18" s="584"/>
      <c r="C18" s="584"/>
    </row>
    <row r="19" spans="2:16" ht="15.75" thickBot="1" x14ac:dyDescent="0.3">
      <c r="B19" s="18" t="s">
        <v>60</v>
      </c>
      <c r="C19" s="11">
        <v>8.33</v>
      </c>
    </row>
    <row r="20" spans="2:16" ht="15.75" thickBot="1" x14ac:dyDescent="0.3">
      <c r="B20" s="18" t="s">
        <v>61</v>
      </c>
      <c r="C20" s="11">
        <v>4.17</v>
      </c>
      <c r="F20" s="609" t="s">
        <v>62</v>
      </c>
      <c r="G20" s="609"/>
    </row>
    <row r="21" spans="2:16" ht="15.75" thickBot="1" x14ac:dyDescent="0.3">
      <c r="B21" s="18" t="s">
        <v>63</v>
      </c>
      <c r="C21" s="11">
        <v>8.33</v>
      </c>
      <c r="F21" s="232" t="s">
        <v>64</v>
      </c>
      <c r="G21" s="233">
        <v>365</v>
      </c>
      <c r="I21" s="620" t="s">
        <v>1091</v>
      </c>
      <c r="J21" s="620"/>
      <c r="K21" s="620"/>
      <c r="L21" s="620"/>
    </row>
    <row r="22" spans="2:16" ht="15.75" thickBot="1" x14ac:dyDescent="0.3">
      <c r="B22" s="18" t="s">
        <v>65</v>
      </c>
      <c r="C22" s="11">
        <v>1</v>
      </c>
      <c r="F22" s="151" t="s">
        <v>66</v>
      </c>
      <c r="G22" s="177">
        <v>-71</v>
      </c>
      <c r="I22" s="620"/>
      <c r="J22" s="620"/>
      <c r="K22" s="620"/>
      <c r="L22" s="620"/>
    </row>
    <row r="23" spans="2:16" ht="15.75" thickBot="1" x14ac:dyDescent="0.3">
      <c r="B23" s="18" t="s">
        <v>67</v>
      </c>
      <c r="C23" s="11">
        <v>8.5</v>
      </c>
      <c r="F23" s="151" t="s">
        <v>68</v>
      </c>
      <c r="G23" s="177">
        <f>SUM(G21:G22)</f>
        <v>294</v>
      </c>
      <c r="I23" s="620"/>
      <c r="J23" s="620"/>
      <c r="K23" s="620"/>
      <c r="L23" s="620"/>
    </row>
    <row r="24" spans="2:16" ht="15.75" thickBot="1" x14ac:dyDescent="0.3">
      <c r="B24" s="18" t="s">
        <v>69</v>
      </c>
      <c r="C24" s="11">
        <v>12</v>
      </c>
      <c r="F24" s="228" t="s">
        <v>70</v>
      </c>
      <c r="G24" s="177">
        <f>G23/12</f>
        <v>24.5</v>
      </c>
      <c r="I24" s="620"/>
      <c r="J24" s="620"/>
      <c r="K24" s="620"/>
      <c r="L24" s="620"/>
    </row>
    <row r="25" spans="2:16" ht="15.75" thickBot="1" x14ac:dyDescent="0.3">
      <c r="B25" s="28" t="s">
        <v>272</v>
      </c>
      <c r="C25" s="125">
        <v>3</v>
      </c>
      <c r="F25" s="151" t="s">
        <v>71</v>
      </c>
      <c r="G25" s="177">
        <f>G23*8</f>
        <v>2352</v>
      </c>
      <c r="I25" s="620"/>
      <c r="J25" s="620"/>
      <c r="K25" s="620"/>
      <c r="L25" s="620"/>
    </row>
    <row r="26" spans="2:16" ht="15.75" thickBot="1" x14ac:dyDescent="0.3">
      <c r="B26" s="28" t="s">
        <v>273</v>
      </c>
      <c r="C26" s="125">
        <v>2</v>
      </c>
      <c r="F26" s="151" t="s">
        <v>73</v>
      </c>
      <c r="G26" s="177">
        <f>G25/12</f>
        <v>196</v>
      </c>
      <c r="I26" s="620"/>
      <c r="J26" s="620"/>
      <c r="K26" s="620"/>
      <c r="L26" s="620"/>
    </row>
    <row r="27" spans="2:16" ht="15.75" thickBot="1" x14ac:dyDescent="0.3">
      <c r="B27" s="18" t="s">
        <v>72</v>
      </c>
      <c r="C27" s="11">
        <v>4</v>
      </c>
      <c r="F27" s="176" t="s">
        <v>276</v>
      </c>
      <c r="G27" s="230">
        <v>0.87</v>
      </c>
    </row>
    <row r="28" spans="2:16" ht="15.75" thickBot="1" x14ac:dyDescent="0.3">
      <c r="B28" s="26"/>
      <c r="C28" s="27">
        <f>SUM(C19:C27)</f>
        <v>51.33</v>
      </c>
      <c r="F28" s="151" t="s">
        <v>275</v>
      </c>
      <c r="G28" s="231">
        <f>G26*G27</f>
        <v>170.52</v>
      </c>
    </row>
    <row r="29" spans="2:16" ht="15.75" thickBot="1" x14ac:dyDescent="0.3">
      <c r="B29" s="28" t="s">
        <v>74</v>
      </c>
      <c r="C29" s="29">
        <f>C28/100</f>
        <v>0.51329999999999998</v>
      </c>
      <c r="F29" s="227" t="s">
        <v>1089</v>
      </c>
      <c r="G29" s="177">
        <f>G25*G27</f>
        <v>2046.24</v>
      </c>
    </row>
    <row r="32" spans="2:16" ht="15.75" thickBot="1" x14ac:dyDescent="0.3">
      <c r="F32" s="600" t="s">
        <v>75</v>
      </c>
      <c r="G32" s="600"/>
      <c r="H32" s="600"/>
      <c r="I32" s="600"/>
      <c r="J32" s="600"/>
      <c r="K32" s="600"/>
      <c r="L32" s="600"/>
      <c r="M32" s="600"/>
    </row>
    <row r="33" spans="2:10" ht="15.75" thickBot="1" x14ac:dyDescent="0.3">
      <c r="B33" s="584" t="s">
        <v>76</v>
      </c>
      <c r="C33" s="584"/>
    </row>
    <row r="34" spans="2:10" ht="15.75" thickBot="1" x14ac:dyDescent="0.3">
      <c r="B34" s="584"/>
      <c r="C34" s="584"/>
      <c r="F34" s="600" t="s">
        <v>77</v>
      </c>
      <c r="G34" s="600"/>
      <c r="H34" s="600"/>
      <c r="I34" s="600"/>
      <c r="J34" s="600"/>
    </row>
    <row r="35" spans="2:10" ht="15.75" thickBot="1" x14ac:dyDescent="0.3">
      <c r="B35" s="18" t="s">
        <v>60</v>
      </c>
      <c r="C35" s="30">
        <v>8.33</v>
      </c>
    </row>
    <row r="36" spans="2:10" ht="15.75" thickBot="1" x14ac:dyDescent="0.3">
      <c r="B36" s="18" t="s">
        <v>81</v>
      </c>
      <c r="C36" s="30">
        <v>8.33</v>
      </c>
      <c r="F36" t="s">
        <v>78</v>
      </c>
      <c r="G36" s="5" t="s">
        <v>79</v>
      </c>
      <c r="H36">
        <f>G26*87%</f>
        <v>170.52</v>
      </c>
      <c r="J36" t="s">
        <v>80</v>
      </c>
    </row>
    <row r="37" spans="2:10" ht="15.75" thickBot="1" x14ac:dyDescent="0.3">
      <c r="B37" s="18" t="s">
        <v>65</v>
      </c>
      <c r="C37" s="30">
        <v>1</v>
      </c>
      <c r="G37" s="5"/>
    </row>
    <row r="38" spans="2:10" ht="15.75" thickBot="1" x14ac:dyDescent="0.3">
      <c r="B38" s="31"/>
      <c r="C38" s="32">
        <f>SUM(C35:C37)</f>
        <v>17.66</v>
      </c>
    </row>
    <row r="39" spans="2:10" ht="15.75" thickBot="1" x14ac:dyDescent="0.3">
      <c r="B39" s="33" t="s">
        <v>74</v>
      </c>
      <c r="C39" s="34">
        <f>C38/100</f>
        <v>0.17660000000000001</v>
      </c>
    </row>
    <row r="40" spans="2:10" ht="15.75" thickBot="1" x14ac:dyDescent="0.3">
      <c r="B40" s="35"/>
      <c r="C40" s="36"/>
    </row>
  </sheetData>
  <mergeCells count="10">
    <mergeCell ref="E7:P7"/>
    <mergeCell ref="B33:C34"/>
    <mergeCell ref="F34:J34"/>
    <mergeCell ref="B17:C18"/>
    <mergeCell ref="F20:G20"/>
    <mergeCell ref="F32:M32"/>
    <mergeCell ref="E15:G15"/>
    <mergeCell ref="N16:O16"/>
    <mergeCell ref="K8:M8"/>
    <mergeCell ref="I21:L26"/>
  </mergeCells>
  <pageMargins left="0.70000000000000007" right="0.70000000000000007" top="0.75" bottom="0.75" header="0.30000000000000004" footer="0.3000000000000000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C3:F29"/>
  <sheetViews>
    <sheetView workbookViewId="0"/>
  </sheetViews>
  <sheetFormatPr baseColWidth="10" defaultRowHeight="15" x14ac:dyDescent="0.25"/>
  <cols>
    <col min="1" max="2" width="11.42578125" customWidth="1"/>
    <col min="3" max="3" width="27" customWidth="1"/>
    <col min="4" max="4" width="14.85546875" customWidth="1"/>
    <col min="5" max="5" width="13.85546875" customWidth="1"/>
    <col min="6" max="6" width="15.85546875" customWidth="1"/>
    <col min="7" max="7" width="11.42578125" customWidth="1"/>
  </cols>
  <sheetData>
    <row r="3" spans="3:6" ht="23.25" x14ac:dyDescent="0.35">
      <c r="C3" s="621" t="s">
        <v>87</v>
      </c>
      <c r="D3" s="621"/>
      <c r="E3" s="621"/>
      <c r="F3" s="621"/>
    </row>
    <row r="4" spans="3:6" x14ac:dyDescent="0.25">
      <c r="C4" s="39" t="s">
        <v>88</v>
      </c>
      <c r="D4" s="40" t="s">
        <v>89</v>
      </c>
      <c r="E4" s="40" t="s">
        <v>90</v>
      </c>
      <c r="F4" s="40" t="s">
        <v>91</v>
      </c>
    </row>
    <row r="5" spans="3:6" x14ac:dyDescent="0.25">
      <c r="C5" s="5" t="s">
        <v>92</v>
      </c>
    </row>
    <row r="6" spans="3:6" x14ac:dyDescent="0.25">
      <c r="C6" s="5" t="s">
        <v>93</v>
      </c>
    </row>
    <row r="7" spans="3:6" x14ac:dyDescent="0.25">
      <c r="C7" s="5" t="s">
        <v>94</v>
      </c>
    </row>
    <row r="8" spans="3:6" x14ac:dyDescent="0.25">
      <c r="C8" s="5"/>
    </row>
    <row r="9" spans="3:6" x14ac:dyDescent="0.25">
      <c r="C9" s="5"/>
    </row>
    <row r="10" spans="3:6" x14ac:dyDescent="0.25">
      <c r="C10" s="5"/>
    </row>
    <row r="11" spans="3:6" x14ac:dyDescent="0.25">
      <c r="C11" s="39" t="s">
        <v>95</v>
      </c>
    </row>
    <row r="12" spans="3:6" x14ac:dyDescent="0.25">
      <c r="C12" s="5"/>
    </row>
    <row r="13" spans="3:6" x14ac:dyDescent="0.25">
      <c r="C13" s="5"/>
    </row>
    <row r="14" spans="3:6" x14ac:dyDescent="0.25">
      <c r="C14" s="5"/>
    </row>
    <row r="15" spans="3:6" x14ac:dyDescent="0.25">
      <c r="C15" s="5"/>
    </row>
    <row r="16" spans="3:6" x14ac:dyDescent="0.25">
      <c r="C16" s="5"/>
    </row>
    <row r="17" spans="3:6" x14ac:dyDescent="0.25">
      <c r="C17" s="5"/>
    </row>
    <row r="18" spans="3:6" x14ac:dyDescent="0.25">
      <c r="C18" s="39" t="s">
        <v>96</v>
      </c>
    </row>
    <row r="19" spans="3:6" x14ac:dyDescent="0.25">
      <c r="C19" t="s">
        <v>97</v>
      </c>
    </row>
    <row r="23" spans="3:6" x14ac:dyDescent="0.25">
      <c r="C23" t="s">
        <v>98</v>
      </c>
    </row>
    <row r="29" spans="3:6" x14ac:dyDescent="0.25">
      <c r="C29" s="622" t="s">
        <v>99</v>
      </c>
      <c r="D29" s="622"/>
      <c r="E29" s="622"/>
      <c r="F29" s="622"/>
    </row>
  </sheetData>
  <mergeCells count="2">
    <mergeCell ref="C3:F3"/>
    <mergeCell ref="C29:F29"/>
  </mergeCells>
  <pageMargins left="0.70000000000000007" right="0.70000000000000007" top="0.75" bottom="0.75" header="0.30000000000000004" footer="0.3000000000000000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E65"/>
  <sheetViews>
    <sheetView workbookViewId="0"/>
  </sheetViews>
  <sheetFormatPr baseColWidth="10" defaultRowHeight="15" x14ac:dyDescent="0.25"/>
  <cols>
    <col min="1" max="1" width="27.85546875" style="42" customWidth="1"/>
    <col min="2" max="2" width="20.140625" style="42" customWidth="1"/>
    <col min="3" max="3" width="24.42578125" style="42" customWidth="1"/>
    <col min="4" max="4" width="20" style="42" customWidth="1"/>
    <col min="5" max="5" width="18.140625" style="42" customWidth="1"/>
    <col min="6" max="6" width="11.42578125" style="42" customWidth="1"/>
    <col min="7" max="16384" width="11.42578125" style="42"/>
  </cols>
  <sheetData>
    <row r="1" spans="1:5" x14ac:dyDescent="0.25">
      <c r="A1" s="41" t="s">
        <v>100</v>
      </c>
      <c r="B1" s="41" t="s">
        <v>101</v>
      </c>
      <c r="C1" s="41" t="s">
        <v>102</v>
      </c>
      <c r="D1" s="41" t="s">
        <v>103</v>
      </c>
      <c r="E1" s="41" t="s">
        <v>104</v>
      </c>
    </row>
    <row r="2" spans="1:5" x14ac:dyDescent="0.25">
      <c r="A2" s="43" t="s">
        <v>105</v>
      </c>
      <c r="B2" s="44">
        <v>25200</v>
      </c>
      <c r="C2" s="44">
        <v>38300</v>
      </c>
      <c r="D2" s="44">
        <v>20800</v>
      </c>
      <c r="E2" s="43"/>
    </row>
    <row r="3" spans="1:5" x14ac:dyDescent="0.25">
      <c r="A3" s="43" t="s">
        <v>106</v>
      </c>
      <c r="B3" s="44">
        <v>10700</v>
      </c>
      <c r="C3" s="44">
        <v>12200</v>
      </c>
      <c r="D3" s="44">
        <v>7500</v>
      </c>
      <c r="E3" s="43"/>
    </row>
    <row r="4" spans="1:5" x14ac:dyDescent="0.25">
      <c r="A4" s="43" t="s">
        <v>107</v>
      </c>
      <c r="B4" s="44">
        <v>3900</v>
      </c>
      <c r="C4" s="44">
        <v>7500</v>
      </c>
      <c r="D4" s="44">
        <v>3500</v>
      </c>
      <c r="E4" s="43"/>
    </row>
    <row r="5" spans="1:5" x14ac:dyDescent="0.25">
      <c r="A5" s="45" t="s">
        <v>108</v>
      </c>
      <c r="B5" s="43">
        <v>150</v>
      </c>
      <c r="C5" s="43">
        <v>100</v>
      </c>
      <c r="D5" s="43">
        <v>200</v>
      </c>
      <c r="E5" s="43"/>
    </row>
    <row r="6" spans="1:5" x14ac:dyDescent="0.25">
      <c r="A6" s="43" t="s">
        <v>109</v>
      </c>
      <c r="B6" s="43">
        <v>45</v>
      </c>
      <c r="C6" s="43">
        <v>40</v>
      </c>
      <c r="D6" s="43">
        <v>80</v>
      </c>
      <c r="E6" s="43">
        <f>+B6+C6+D6</f>
        <v>165</v>
      </c>
    </row>
    <row r="7" spans="1:5" x14ac:dyDescent="0.25">
      <c r="A7" s="43" t="s">
        <v>110</v>
      </c>
      <c r="B7" s="43">
        <v>35</v>
      </c>
      <c r="C7" s="43">
        <v>40</v>
      </c>
      <c r="D7" s="43">
        <v>30</v>
      </c>
      <c r="E7" s="43">
        <f>+B7+C7+D7</f>
        <v>105</v>
      </c>
    </row>
    <row r="8" spans="1:5" x14ac:dyDescent="0.25">
      <c r="A8" s="43" t="s">
        <v>111</v>
      </c>
      <c r="B8" s="43">
        <v>70</v>
      </c>
      <c r="C8" s="43">
        <v>30</v>
      </c>
      <c r="D8" s="43">
        <v>120</v>
      </c>
      <c r="E8" s="43">
        <f>+B8+C8+D8</f>
        <v>220</v>
      </c>
    </row>
    <row r="9" spans="1:5" x14ac:dyDescent="0.25">
      <c r="A9" s="45" t="s">
        <v>112</v>
      </c>
      <c r="B9" s="43"/>
      <c r="C9" s="43"/>
      <c r="D9" s="43"/>
      <c r="E9" s="43"/>
    </row>
    <row r="10" spans="1:5" x14ac:dyDescent="0.25">
      <c r="A10" s="43" t="s">
        <v>113</v>
      </c>
      <c r="B10" s="43">
        <v>25</v>
      </c>
      <c r="C10" s="43">
        <v>30</v>
      </c>
      <c r="D10" s="43">
        <v>70</v>
      </c>
      <c r="E10" s="43">
        <f>+B10+C10+D10</f>
        <v>125</v>
      </c>
    </row>
    <row r="11" spans="1:5" x14ac:dyDescent="0.25">
      <c r="A11" s="43" t="s">
        <v>110</v>
      </c>
      <c r="B11" s="43">
        <v>35</v>
      </c>
      <c r="C11" s="43">
        <v>40</v>
      </c>
      <c r="D11" s="43">
        <v>30</v>
      </c>
      <c r="E11" s="43">
        <f>+B11+C11+D11</f>
        <v>105</v>
      </c>
    </row>
    <row r="12" spans="1:5" customFormat="1" x14ac:dyDescent="0.25">
      <c r="A12" s="46" t="s">
        <v>111</v>
      </c>
      <c r="B12" s="46">
        <v>35</v>
      </c>
      <c r="C12" s="46">
        <v>15</v>
      </c>
      <c r="D12" s="46">
        <v>60</v>
      </c>
      <c r="E12" s="46">
        <f>+B12+C12+D12</f>
        <v>110</v>
      </c>
    </row>
    <row r="13" spans="1:5" customFormat="1" x14ac:dyDescent="0.25">
      <c r="A13" s="43"/>
      <c r="B13" s="43"/>
      <c r="C13" s="43"/>
      <c r="D13" s="43"/>
      <c r="E13" s="43"/>
    </row>
    <row r="14" spans="1:5" customFormat="1" x14ac:dyDescent="0.25">
      <c r="A14" s="43"/>
      <c r="B14" s="43"/>
      <c r="C14" s="43"/>
      <c r="D14" s="43"/>
      <c r="E14" s="43"/>
    </row>
    <row r="18" spans="1:5" customFormat="1" x14ac:dyDescent="0.25">
      <c r="A18" s="42"/>
      <c r="B18" s="42" t="s">
        <v>114</v>
      </c>
      <c r="C18" s="42"/>
      <c r="D18" s="42"/>
      <c r="E18" s="42"/>
    </row>
    <row r="19" spans="1:5" customFormat="1" x14ac:dyDescent="0.25">
      <c r="A19" s="45" t="s">
        <v>115</v>
      </c>
      <c r="B19" s="45" t="s">
        <v>116</v>
      </c>
      <c r="C19" s="45" t="s">
        <v>117</v>
      </c>
      <c r="D19" s="42"/>
      <c r="E19" s="42"/>
    </row>
    <row r="20" spans="1:5" customFormat="1" x14ac:dyDescent="0.25">
      <c r="A20" s="43" t="s">
        <v>118</v>
      </c>
      <c r="B20" s="43">
        <v>1540000</v>
      </c>
      <c r="C20" s="43" t="s">
        <v>119</v>
      </c>
      <c r="D20" s="42"/>
      <c r="E20" s="42"/>
    </row>
    <row r="21" spans="1:5" customFormat="1" x14ac:dyDescent="0.25">
      <c r="A21" s="45" t="s">
        <v>120</v>
      </c>
      <c r="B21" s="43"/>
      <c r="C21" s="43"/>
      <c r="D21" s="42"/>
      <c r="E21" s="42"/>
    </row>
    <row r="22" spans="1:5" customFormat="1" x14ac:dyDescent="0.25">
      <c r="A22" s="43" t="s">
        <v>111</v>
      </c>
      <c r="B22" s="43">
        <v>506500</v>
      </c>
      <c r="C22" s="43" t="s">
        <v>121</v>
      </c>
      <c r="D22" s="42"/>
      <c r="E22" s="42"/>
    </row>
    <row r="23" spans="1:5" customFormat="1" x14ac:dyDescent="0.25">
      <c r="A23" s="45" t="s">
        <v>122</v>
      </c>
      <c r="B23" s="43"/>
      <c r="C23" s="43"/>
      <c r="D23" s="42"/>
      <c r="E23" s="42"/>
    </row>
    <row r="24" spans="1:5" customFormat="1" x14ac:dyDescent="0.25">
      <c r="A24" s="43" t="s">
        <v>113</v>
      </c>
      <c r="B24" s="43">
        <v>327000</v>
      </c>
      <c r="C24" s="43" t="s">
        <v>121</v>
      </c>
      <c r="D24" s="42"/>
      <c r="E24" s="42"/>
    </row>
    <row r="25" spans="1:5" customFormat="1" x14ac:dyDescent="0.25">
      <c r="A25" s="43" t="s">
        <v>123</v>
      </c>
      <c r="B25" s="43">
        <v>192600</v>
      </c>
      <c r="C25" s="43" t="s">
        <v>121</v>
      </c>
      <c r="D25" s="42"/>
      <c r="E25" s="42"/>
    </row>
    <row r="26" spans="1:5" customFormat="1" x14ac:dyDescent="0.25">
      <c r="A26" s="43" t="s">
        <v>111</v>
      </c>
      <c r="B26" s="43">
        <v>76800</v>
      </c>
      <c r="C26" s="43" t="s">
        <v>121</v>
      </c>
      <c r="D26" s="42"/>
      <c r="E26" s="42"/>
    </row>
    <row r="27" spans="1:5" customFormat="1" x14ac:dyDescent="0.25">
      <c r="A27" s="43" t="s">
        <v>124</v>
      </c>
      <c r="B27" s="43">
        <v>18100</v>
      </c>
      <c r="C27" s="43" t="s">
        <v>121</v>
      </c>
      <c r="D27" s="42"/>
      <c r="E27" s="42"/>
    </row>
    <row r="28" spans="1:5" customFormat="1" x14ac:dyDescent="0.25">
      <c r="A28" s="43" t="s">
        <v>125</v>
      </c>
      <c r="B28" s="43">
        <v>14600</v>
      </c>
      <c r="C28" s="43" t="s">
        <v>121</v>
      </c>
      <c r="D28" s="42"/>
      <c r="E28" s="42"/>
    </row>
    <row r="29" spans="1:5" customFormat="1" x14ac:dyDescent="0.25">
      <c r="A29" s="45" t="s">
        <v>126</v>
      </c>
      <c r="B29" s="43"/>
      <c r="C29" s="43"/>
      <c r="D29" s="42"/>
      <c r="E29" s="42"/>
    </row>
    <row r="30" spans="1:5" customFormat="1" x14ac:dyDescent="0.25">
      <c r="A30" s="43" t="s">
        <v>113</v>
      </c>
      <c r="B30" s="43">
        <v>135000</v>
      </c>
      <c r="C30" s="43" t="s">
        <v>121</v>
      </c>
      <c r="D30" s="42"/>
      <c r="E30" s="42"/>
    </row>
    <row r="31" spans="1:5" customFormat="1" x14ac:dyDescent="0.25">
      <c r="A31" s="43" t="s">
        <v>123</v>
      </c>
      <c r="B31" s="43">
        <v>203600</v>
      </c>
      <c r="C31" s="43" t="s">
        <v>121</v>
      </c>
      <c r="D31" s="42"/>
      <c r="E31" s="42"/>
    </row>
    <row r="32" spans="1:5" customFormat="1" x14ac:dyDescent="0.25">
      <c r="A32" s="43" t="s">
        <v>111</v>
      </c>
      <c r="B32" s="43">
        <v>25200</v>
      </c>
      <c r="C32" s="43" t="s">
        <v>121</v>
      </c>
      <c r="D32" s="42"/>
      <c r="E32" s="42"/>
    </row>
    <row r="33" spans="1:5" customFormat="1" x14ac:dyDescent="0.25">
      <c r="A33" s="43" t="s">
        <v>127</v>
      </c>
      <c r="B33" s="43">
        <v>42900</v>
      </c>
      <c r="C33" s="43" t="s">
        <v>121</v>
      </c>
      <c r="D33" s="42"/>
      <c r="E33" s="42"/>
    </row>
    <row r="34" spans="1:5" customFormat="1" x14ac:dyDescent="0.25">
      <c r="A34" s="43" t="s">
        <v>128</v>
      </c>
      <c r="B34" s="43">
        <v>520000</v>
      </c>
      <c r="C34" s="43" t="s">
        <v>119</v>
      </c>
      <c r="D34" s="42"/>
      <c r="E34" s="42"/>
    </row>
    <row r="35" spans="1:5" customFormat="1" x14ac:dyDescent="0.25">
      <c r="A35" s="43" t="s">
        <v>129</v>
      </c>
      <c r="B35" s="43">
        <v>172200</v>
      </c>
      <c r="C35" s="43" t="s">
        <v>130</v>
      </c>
      <c r="D35" s="42"/>
      <c r="E35" s="42"/>
    </row>
    <row r="36" spans="1:5" customFormat="1" x14ac:dyDescent="0.25">
      <c r="A36" s="43" t="s">
        <v>131</v>
      </c>
      <c r="B36" s="43">
        <v>181200</v>
      </c>
      <c r="C36" s="43" t="s">
        <v>132</v>
      </c>
      <c r="D36" s="42"/>
      <c r="E36" s="42"/>
    </row>
    <row r="37" spans="1:5" customFormat="1" x14ac:dyDescent="0.25">
      <c r="A37" s="43" t="s">
        <v>133</v>
      </c>
      <c r="B37" s="43">
        <v>96300</v>
      </c>
      <c r="C37" s="43" t="s">
        <v>130</v>
      </c>
      <c r="D37" s="42"/>
      <c r="E37" s="42"/>
    </row>
    <row r="38" spans="1:5" customFormat="1" x14ac:dyDescent="0.25">
      <c r="A38" s="43" t="s">
        <v>134</v>
      </c>
      <c r="B38" s="43">
        <v>14700</v>
      </c>
      <c r="C38" s="43" t="s">
        <v>135</v>
      </c>
      <c r="D38" s="42"/>
      <c r="E38" s="42"/>
    </row>
    <row r="39" spans="1:5" customFormat="1" x14ac:dyDescent="0.25">
      <c r="A39" s="45" t="s">
        <v>136</v>
      </c>
      <c r="B39" s="43"/>
      <c r="C39" s="43"/>
      <c r="D39" s="42"/>
      <c r="E39" s="42"/>
    </row>
    <row r="40" spans="1:5" customFormat="1" x14ac:dyDescent="0.25">
      <c r="A40" s="43" t="s">
        <v>137</v>
      </c>
      <c r="B40" s="43">
        <v>40200</v>
      </c>
      <c r="C40" s="43" t="s">
        <v>121</v>
      </c>
      <c r="D40" s="42"/>
      <c r="E40" s="42"/>
    </row>
    <row r="41" spans="1:5" customFormat="1" x14ac:dyDescent="0.25">
      <c r="A41" s="43" t="s">
        <v>138</v>
      </c>
      <c r="B41" s="43">
        <v>30800</v>
      </c>
      <c r="C41" s="43" t="s">
        <v>121</v>
      </c>
      <c r="D41" s="42"/>
      <c r="E41" s="42"/>
    </row>
    <row r="42" spans="1:5" customFormat="1" x14ac:dyDescent="0.25">
      <c r="A42" s="43" t="s">
        <v>139</v>
      </c>
      <c r="B42" s="43">
        <v>75200</v>
      </c>
      <c r="C42" s="43" t="s">
        <v>121</v>
      </c>
      <c r="D42" s="42"/>
      <c r="E42" s="42"/>
    </row>
    <row r="43" spans="1:5" customFormat="1" x14ac:dyDescent="0.25">
      <c r="A43" s="43" t="s">
        <v>140</v>
      </c>
      <c r="B43" s="43">
        <v>60000</v>
      </c>
      <c r="C43" s="43" t="s">
        <v>121</v>
      </c>
      <c r="D43" s="42"/>
      <c r="E43" s="42"/>
    </row>
    <row r="44" spans="1:5" customFormat="1" x14ac:dyDescent="0.25">
      <c r="A44" s="43" t="s">
        <v>111</v>
      </c>
      <c r="B44" s="43">
        <v>45000</v>
      </c>
      <c r="C44" s="43" t="s">
        <v>121</v>
      </c>
      <c r="D44" s="42"/>
      <c r="E44" s="42"/>
    </row>
    <row r="45" spans="1:5" customFormat="1" x14ac:dyDescent="0.25">
      <c r="A45" s="45" t="s">
        <v>141</v>
      </c>
      <c r="B45" s="43"/>
      <c r="C45" s="43"/>
      <c r="D45" s="42"/>
      <c r="E45" s="42"/>
    </row>
    <row r="46" spans="1:5" customFormat="1" x14ac:dyDescent="0.25">
      <c r="A46" s="43" t="s">
        <v>125</v>
      </c>
      <c r="B46" s="43">
        <v>450000</v>
      </c>
      <c r="C46" s="43" t="s">
        <v>121</v>
      </c>
      <c r="D46" s="42"/>
      <c r="E46" s="42"/>
    </row>
    <row r="47" spans="1:5" customFormat="1" x14ac:dyDescent="0.25">
      <c r="A47" s="43" t="s">
        <v>142</v>
      </c>
      <c r="B47" s="43">
        <v>630000</v>
      </c>
      <c r="C47" s="43" t="s">
        <v>121</v>
      </c>
      <c r="D47" s="42"/>
      <c r="E47" s="42"/>
    </row>
    <row r="48" spans="1:5" customFormat="1" x14ac:dyDescent="0.25">
      <c r="A48" s="47" t="s">
        <v>143</v>
      </c>
      <c r="B48" s="46">
        <v>180700</v>
      </c>
      <c r="C48" s="46" t="s">
        <v>121</v>
      </c>
      <c r="D48" s="42"/>
      <c r="E48" s="42"/>
    </row>
    <row r="50" spans="1:5" customFormat="1" x14ac:dyDescent="0.25">
      <c r="A50" s="623" t="s">
        <v>144</v>
      </c>
      <c r="B50" s="623"/>
      <c r="C50" s="623"/>
      <c r="D50" s="623"/>
      <c r="E50" s="623"/>
    </row>
    <row r="51" spans="1:5" customFormat="1" x14ac:dyDescent="0.25">
      <c r="A51" s="45" t="s">
        <v>145</v>
      </c>
      <c r="B51" s="45" t="s">
        <v>146</v>
      </c>
      <c r="C51" s="45" t="s">
        <v>147</v>
      </c>
      <c r="D51" s="45" t="s">
        <v>148</v>
      </c>
      <c r="E51" s="45" t="s">
        <v>149</v>
      </c>
    </row>
    <row r="52" spans="1:5" customFormat="1" x14ac:dyDescent="0.25">
      <c r="A52" s="43" t="s">
        <v>137</v>
      </c>
      <c r="B52" s="43">
        <v>120</v>
      </c>
      <c r="C52" s="43">
        <v>2</v>
      </c>
      <c r="D52" s="43">
        <v>3</v>
      </c>
      <c r="E52" s="43">
        <v>20</v>
      </c>
    </row>
    <row r="53" spans="1:5" customFormat="1" x14ac:dyDescent="0.25">
      <c r="A53" s="43" t="s">
        <v>138</v>
      </c>
      <c r="B53" s="43">
        <v>150</v>
      </c>
      <c r="C53" s="43">
        <v>1</v>
      </c>
      <c r="D53" s="43">
        <v>5</v>
      </c>
      <c r="E53" s="43">
        <v>15</v>
      </c>
    </row>
    <row r="54" spans="1:5" customFormat="1" x14ac:dyDescent="0.25">
      <c r="A54" s="43" t="s">
        <v>139</v>
      </c>
      <c r="B54" s="43">
        <v>70</v>
      </c>
      <c r="C54" s="43">
        <v>3</v>
      </c>
      <c r="D54" s="43">
        <v>2</v>
      </c>
      <c r="E54" s="43">
        <v>10</v>
      </c>
    </row>
    <row r="55" spans="1:5" customFormat="1" x14ac:dyDescent="0.25">
      <c r="A55" s="43" t="s">
        <v>140</v>
      </c>
      <c r="B55" s="43">
        <v>50</v>
      </c>
      <c r="C55" s="43">
        <v>2</v>
      </c>
      <c r="D55" s="43">
        <v>4</v>
      </c>
      <c r="E55" s="43">
        <v>5</v>
      </c>
    </row>
    <row r="56" spans="1:5" customFormat="1" x14ac:dyDescent="0.25">
      <c r="A56" s="43" t="s">
        <v>111</v>
      </c>
      <c r="B56" s="43">
        <v>10</v>
      </c>
      <c r="C56" s="43">
        <v>1</v>
      </c>
      <c r="D56" s="43">
        <v>1</v>
      </c>
      <c r="E56" s="43">
        <v>10</v>
      </c>
    </row>
    <row r="57" spans="1:5" customFormat="1" x14ac:dyDescent="0.25">
      <c r="A57" s="43" t="s">
        <v>125</v>
      </c>
      <c r="B57" s="43">
        <v>15</v>
      </c>
      <c r="C57" s="43">
        <v>3</v>
      </c>
      <c r="D57" s="43">
        <v>2</v>
      </c>
      <c r="E57" s="43">
        <v>0</v>
      </c>
    </row>
    <row r="58" spans="1:5" customFormat="1" x14ac:dyDescent="0.25">
      <c r="A58" s="43" t="s">
        <v>142</v>
      </c>
      <c r="B58" s="43">
        <v>10</v>
      </c>
      <c r="C58" s="43">
        <v>2</v>
      </c>
      <c r="D58" s="43">
        <v>2</v>
      </c>
      <c r="E58" s="43">
        <v>0</v>
      </c>
    </row>
    <row r="59" spans="1:5" customFormat="1" x14ac:dyDescent="0.25">
      <c r="A59" s="43" t="s">
        <v>150</v>
      </c>
      <c r="B59" s="43">
        <f>SUM(B52:B58)</f>
        <v>425</v>
      </c>
      <c r="C59" s="43">
        <f>SUM(C52:C58)</f>
        <v>14</v>
      </c>
      <c r="D59" s="43">
        <f>SUM(D52:D58)</f>
        <v>19</v>
      </c>
      <c r="E59" s="48">
        <f>SUM(E52:E58)</f>
        <v>60</v>
      </c>
    </row>
    <row r="61" spans="1:5" customFormat="1" x14ac:dyDescent="0.25">
      <c r="A61" s="49" t="s">
        <v>151</v>
      </c>
      <c r="B61" s="50">
        <f>+B20/B59</f>
        <v>3623.5294117647059</v>
      </c>
      <c r="C61" s="42" t="s">
        <v>152</v>
      </c>
      <c r="D61" s="42"/>
      <c r="E61" s="42"/>
    </row>
    <row r="62" spans="1:5" customFormat="1" x14ac:dyDescent="0.25">
      <c r="A62" s="49" t="s">
        <v>153</v>
      </c>
      <c r="B62" s="50">
        <f>+B34/B59</f>
        <v>1223.5294117647059</v>
      </c>
      <c r="C62" s="42" t="s">
        <v>152</v>
      </c>
      <c r="D62" s="42"/>
      <c r="E62" s="42"/>
    </row>
    <row r="63" spans="1:5" customFormat="1" x14ac:dyDescent="0.25">
      <c r="A63" s="49" t="s">
        <v>154</v>
      </c>
      <c r="B63" s="50">
        <f>+B35/C59</f>
        <v>12300</v>
      </c>
      <c r="C63" s="42" t="s">
        <v>155</v>
      </c>
      <c r="D63" s="42"/>
      <c r="E63" s="42"/>
    </row>
    <row r="64" spans="1:5" customFormat="1" x14ac:dyDescent="0.25">
      <c r="A64" s="49" t="s">
        <v>156</v>
      </c>
      <c r="B64" s="50">
        <f>+B36/D59</f>
        <v>9536.8421052631584</v>
      </c>
      <c r="C64" s="49" t="s">
        <v>157</v>
      </c>
      <c r="D64" s="42"/>
      <c r="E64" s="42"/>
    </row>
    <row r="65" spans="1:5" customFormat="1" x14ac:dyDescent="0.25">
      <c r="A65" s="49" t="s">
        <v>158</v>
      </c>
      <c r="B65" s="50">
        <f>+B37/C59</f>
        <v>6878.5714285714284</v>
      </c>
      <c r="C65" s="49" t="s">
        <v>159</v>
      </c>
      <c r="D65" s="42"/>
      <c r="E65" s="42"/>
    </row>
  </sheetData>
  <mergeCells count="1">
    <mergeCell ref="A50:E50"/>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M17"/>
  <sheetViews>
    <sheetView workbookViewId="0">
      <selection activeCell="C20" sqref="C20"/>
    </sheetView>
  </sheetViews>
  <sheetFormatPr baseColWidth="10" defaultRowHeight="15" x14ac:dyDescent="0.25"/>
  <cols>
    <col min="1" max="1" width="27.7109375" style="42" bestFit="1" customWidth="1"/>
    <col min="2" max="2" width="38.140625" style="42" customWidth="1"/>
    <col min="3" max="3" width="21.140625" style="42" customWidth="1"/>
    <col min="4" max="4" width="14.140625" style="42" bestFit="1" customWidth="1"/>
    <col min="5" max="5" width="11.42578125" style="42" customWidth="1"/>
    <col min="6" max="6" width="17.5703125" style="42" customWidth="1"/>
    <col min="7" max="7" width="18.28515625" style="42" customWidth="1"/>
    <col min="8" max="8" width="16.140625" style="42" customWidth="1"/>
    <col min="9" max="9" width="14.42578125" style="42" customWidth="1"/>
    <col min="10" max="10" width="15.140625" style="42" customWidth="1"/>
    <col min="11" max="12" width="13.28515625" style="42" customWidth="1"/>
    <col min="13" max="13" width="14.5703125" style="42" customWidth="1"/>
    <col min="14" max="14" width="11.42578125" style="42" customWidth="1"/>
    <col min="15" max="16384" width="11.42578125" style="42"/>
  </cols>
  <sheetData>
    <row r="1" spans="2:13" ht="15.75" thickBot="1" x14ac:dyDescent="0.3"/>
    <row r="2" spans="2:13" ht="15.75" thickBot="1" x14ac:dyDescent="0.3">
      <c r="B2" s="51"/>
      <c r="C2" s="52"/>
      <c r="D2" s="52"/>
      <c r="E2" s="53"/>
      <c r="F2" s="624" t="s">
        <v>160</v>
      </c>
      <c r="G2" s="624"/>
      <c r="H2" s="625" t="s">
        <v>161</v>
      </c>
      <c r="I2" s="625"/>
      <c r="J2" s="625"/>
      <c r="K2" s="625"/>
      <c r="L2" s="625"/>
      <c r="M2" s="54"/>
    </row>
    <row r="3" spans="2:13" ht="30.75" thickBot="1" x14ac:dyDescent="0.3">
      <c r="B3" s="55" t="s">
        <v>115</v>
      </c>
      <c r="C3" s="56" t="s">
        <v>162</v>
      </c>
      <c r="D3" s="56" t="s">
        <v>116</v>
      </c>
      <c r="E3" s="56" t="s">
        <v>163</v>
      </c>
      <c r="F3" s="56" t="s">
        <v>164</v>
      </c>
      <c r="G3" s="56" t="s">
        <v>165</v>
      </c>
      <c r="H3" s="56" t="s">
        <v>166</v>
      </c>
      <c r="I3" s="56" t="s">
        <v>167</v>
      </c>
      <c r="J3" s="56" t="s">
        <v>168</v>
      </c>
      <c r="K3" s="56" t="s">
        <v>123</v>
      </c>
      <c r="L3" s="56" t="s">
        <v>169</v>
      </c>
      <c r="M3" s="57" t="s">
        <v>150</v>
      </c>
    </row>
    <row r="4" spans="2:13" x14ac:dyDescent="0.25">
      <c r="B4" s="58" t="s">
        <v>170</v>
      </c>
      <c r="C4" s="59" t="s">
        <v>171</v>
      </c>
      <c r="D4" s="59">
        <v>1540000</v>
      </c>
      <c r="E4" s="59">
        <f>+D4/DATOS!B59</f>
        <v>3623.5294117647059</v>
      </c>
      <c r="F4" s="59">
        <f>+E4*DATOS!B57</f>
        <v>54352.941176470587</v>
      </c>
      <c r="G4" s="59">
        <f>+E4*DATOS!B58</f>
        <v>36235.294117647056</v>
      </c>
      <c r="H4" s="59">
        <f>+E4*DATOS!B52</f>
        <v>434823.5294117647</v>
      </c>
      <c r="I4" s="59">
        <f>+E4*DATOS!B54</f>
        <v>253647.0588235294</v>
      </c>
      <c r="J4" s="59">
        <f>E4*DATOS!B53</f>
        <v>543529.4117647059</v>
      </c>
      <c r="K4" s="59">
        <f>+E4*DATOS!B55</f>
        <v>181176.4705882353</v>
      </c>
      <c r="L4" s="59">
        <f>+E4*DATOS!B56</f>
        <v>36235.294117647056</v>
      </c>
      <c r="M4" s="60">
        <f t="shared" ref="M4:M13" si="0">SUM(F4:L4)</f>
        <v>1539999.9999999998</v>
      </c>
    </row>
    <row r="5" spans="2:13" x14ac:dyDescent="0.25">
      <c r="B5" s="61" t="s">
        <v>172</v>
      </c>
      <c r="C5" s="43" t="s">
        <v>173</v>
      </c>
      <c r="D5" s="43">
        <v>506500</v>
      </c>
      <c r="E5" s="43">
        <v>0</v>
      </c>
      <c r="F5" s="43">
        <v>0</v>
      </c>
      <c r="G5" s="43">
        <v>0</v>
      </c>
      <c r="H5" s="43">
        <v>0</v>
      </c>
      <c r="I5" s="43">
        <v>0</v>
      </c>
      <c r="J5" s="43">
        <v>0</v>
      </c>
      <c r="K5" s="43">
        <v>0</v>
      </c>
      <c r="L5" s="43">
        <f>+D5</f>
        <v>506500</v>
      </c>
      <c r="M5" s="62">
        <f t="shared" si="0"/>
        <v>506500</v>
      </c>
    </row>
    <row r="6" spans="2:13" x14ac:dyDescent="0.25">
      <c r="B6" s="61" t="s">
        <v>174</v>
      </c>
      <c r="C6" s="43" t="s">
        <v>173</v>
      </c>
      <c r="D6" s="43">
        <v>629100</v>
      </c>
      <c r="E6" s="43">
        <v>0</v>
      </c>
      <c r="F6" s="63">
        <f>+DATOS!B28</f>
        <v>14600</v>
      </c>
      <c r="G6" s="63">
        <f>+DATOS!B27</f>
        <v>18100</v>
      </c>
      <c r="H6" s="63">
        <f>+DATOS!B24</f>
        <v>327000</v>
      </c>
      <c r="I6" s="43">
        <v>0</v>
      </c>
      <c r="J6" s="43">
        <v>0</v>
      </c>
      <c r="K6" s="63">
        <f>+DATOS!B25</f>
        <v>192600</v>
      </c>
      <c r="L6" s="63">
        <f>+DATOS!B26</f>
        <v>76800</v>
      </c>
      <c r="M6" s="62">
        <f t="shared" si="0"/>
        <v>629100</v>
      </c>
    </row>
    <row r="7" spans="2:13" x14ac:dyDescent="0.25">
      <c r="B7" s="61" t="s">
        <v>175</v>
      </c>
      <c r="C7" s="43" t="s">
        <v>173</v>
      </c>
      <c r="D7" s="43">
        <v>363800</v>
      </c>
      <c r="E7" s="43">
        <v>0</v>
      </c>
      <c r="F7" s="43">
        <v>0</v>
      </c>
      <c r="G7" s="43">
        <v>0</v>
      </c>
      <c r="H7" s="63">
        <f>+DATOS!B30</f>
        <v>135000</v>
      </c>
      <c r="I7" s="43">
        <v>0</v>
      </c>
      <c r="J7" s="43">
        <v>0</v>
      </c>
      <c r="K7" s="63">
        <f>+DATOS!B31</f>
        <v>203600</v>
      </c>
      <c r="L7" s="63">
        <f>+DATOS!B32</f>
        <v>25200</v>
      </c>
      <c r="M7" s="62">
        <f t="shared" si="0"/>
        <v>363800</v>
      </c>
    </row>
    <row r="8" spans="2:13" x14ac:dyDescent="0.25">
      <c r="B8" s="61" t="s">
        <v>176</v>
      </c>
      <c r="C8" s="43" t="s">
        <v>171</v>
      </c>
      <c r="D8" s="43">
        <v>520000</v>
      </c>
      <c r="E8" s="43">
        <f>+D8/DATOS!B59</f>
        <v>1223.5294117647059</v>
      </c>
      <c r="F8" s="63">
        <f>+E8*DATOS!B57</f>
        <v>18352.941176470587</v>
      </c>
      <c r="G8" s="43">
        <f>+E8*DATOS!B58</f>
        <v>12235.294117647059</v>
      </c>
      <c r="H8" s="43">
        <f>+E8*DATOS!B52</f>
        <v>146823.5294117647</v>
      </c>
      <c r="I8" s="43">
        <f>+E8*DATOS!B54</f>
        <v>85647.058823529413</v>
      </c>
      <c r="J8" s="43">
        <f>+E8*DATOS!B53</f>
        <v>183529.41176470587</v>
      </c>
      <c r="K8" s="43">
        <f>+E8*DATOS!B55</f>
        <v>61176.470588235294</v>
      </c>
      <c r="L8" s="43">
        <f>+E8*DATOS!B56</f>
        <v>12235.294117647059</v>
      </c>
      <c r="M8" s="62">
        <f t="shared" si="0"/>
        <v>519999.99999999994</v>
      </c>
    </row>
    <row r="9" spans="2:13" x14ac:dyDescent="0.25">
      <c r="B9" s="61" t="s">
        <v>177</v>
      </c>
      <c r="C9" s="43" t="s">
        <v>178</v>
      </c>
      <c r="D9" s="43">
        <v>172200</v>
      </c>
      <c r="E9" s="43">
        <f>+D9/DATOS!C59</f>
        <v>12300</v>
      </c>
      <c r="F9" s="43">
        <f>+E9*DATOS!C57</f>
        <v>36900</v>
      </c>
      <c r="G9" s="43">
        <f>+E9*DATOS!C58</f>
        <v>24600</v>
      </c>
      <c r="H9" s="43">
        <f>+E9*DATOS!C52</f>
        <v>24600</v>
      </c>
      <c r="I9" s="43">
        <f>+E9*DATOS!C54</f>
        <v>36900</v>
      </c>
      <c r="J9" s="43">
        <f>+E9*DATOS!C53</f>
        <v>12300</v>
      </c>
      <c r="K9" s="43">
        <f>+E9*DATOS!C55</f>
        <v>24600</v>
      </c>
      <c r="L9" s="43">
        <f>+E9*DATOS!C56</f>
        <v>12300</v>
      </c>
      <c r="M9" s="62">
        <f t="shared" si="0"/>
        <v>172200</v>
      </c>
    </row>
    <row r="10" spans="2:13" x14ac:dyDescent="0.25">
      <c r="B10" s="61" t="s">
        <v>179</v>
      </c>
      <c r="C10" s="43" t="s">
        <v>180</v>
      </c>
      <c r="D10" s="43">
        <v>181200</v>
      </c>
      <c r="E10" s="43">
        <f>+D10/DATOS!D59</f>
        <v>9536.8421052631584</v>
      </c>
      <c r="F10" s="43">
        <f>+E10*DATOS!D57</f>
        <v>19073.684210526317</v>
      </c>
      <c r="G10" s="43">
        <f>+E10*DATOS!D58</f>
        <v>19073.684210526317</v>
      </c>
      <c r="H10" s="43">
        <f>+E10*DATOS!D52</f>
        <v>28610.526315789473</v>
      </c>
      <c r="I10" s="43">
        <f>+E10*DATOS!D54</f>
        <v>19073.684210526317</v>
      </c>
      <c r="J10" s="43">
        <f>+E10*DATOS!D53</f>
        <v>47684.210526315794</v>
      </c>
      <c r="K10" s="43">
        <f>+E10*DATOS!D55</f>
        <v>38147.368421052633</v>
      </c>
      <c r="L10" s="43">
        <f>+E10*DATOS!D56</f>
        <v>9536.8421052631584</v>
      </c>
      <c r="M10" s="62">
        <f t="shared" si="0"/>
        <v>181200</v>
      </c>
    </row>
    <row r="11" spans="2:13" x14ac:dyDescent="0.25">
      <c r="B11" s="61" t="s">
        <v>181</v>
      </c>
      <c r="C11" s="43" t="s">
        <v>178</v>
      </c>
      <c r="D11" s="43">
        <f>96300</f>
        <v>96300</v>
      </c>
      <c r="E11" s="43">
        <f>+D11/DATOS!C59</f>
        <v>6878.5714285714284</v>
      </c>
      <c r="F11" s="43">
        <f>+E11*DATOS!C57</f>
        <v>20635.714285714286</v>
      </c>
      <c r="G11" s="43">
        <f>+E11*DATOS!C58</f>
        <v>13757.142857142857</v>
      </c>
      <c r="H11" s="43">
        <f>+E11*DATOS!C52</f>
        <v>13757.142857142857</v>
      </c>
      <c r="I11" s="43">
        <f>+E11*DATOS!C54</f>
        <v>20635.714285714286</v>
      </c>
      <c r="J11" s="43">
        <f>+E11*DATOS!C53</f>
        <v>6878.5714285714284</v>
      </c>
      <c r="K11" s="43">
        <f>+E11*DATOS!C55</f>
        <v>13757.142857142857</v>
      </c>
      <c r="L11" s="43">
        <f>+E11*DATOS!C56</f>
        <v>6878.5714285714284</v>
      </c>
      <c r="M11" s="62">
        <f t="shared" si="0"/>
        <v>96300.000000000015</v>
      </c>
    </row>
    <row r="12" spans="2:13" x14ac:dyDescent="0.25">
      <c r="B12" s="61" t="s">
        <v>182</v>
      </c>
      <c r="C12" s="43" t="s">
        <v>173</v>
      </c>
      <c r="D12" s="43">
        <v>1080000</v>
      </c>
      <c r="E12" s="43">
        <v>0</v>
      </c>
      <c r="F12" s="63">
        <f>+DATOS!B46</f>
        <v>450000</v>
      </c>
      <c r="G12" s="63">
        <f>+DATOS!B47</f>
        <v>630000</v>
      </c>
      <c r="H12" s="43">
        <v>0</v>
      </c>
      <c r="I12" s="43">
        <v>0</v>
      </c>
      <c r="J12" s="43">
        <v>0</v>
      </c>
      <c r="K12" s="43">
        <v>0</v>
      </c>
      <c r="L12" s="43">
        <v>0</v>
      </c>
      <c r="M12" s="62">
        <f t="shared" si="0"/>
        <v>1080000</v>
      </c>
    </row>
    <row r="13" spans="2:13" x14ac:dyDescent="0.25">
      <c r="B13" s="61" t="s">
        <v>183</v>
      </c>
      <c r="C13" s="43" t="s">
        <v>173</v>
      </c>
      <c r="D13" s="43">
        <v>180700</v>
      </c>
      <c r="E13" s="43">
        <v>0</v>
      </c>
      <c r="F13" s="43">
        <v>0</v>
      </c>
      <c r="G13" s="63">
        <f>+DATOS!B48</f>
        <v>180700</v>
      </c>
      <c r="H13" s="43">
        <v>0</v>
      </c>
      <c r="I13" s="43">
        <v>0</v>
      </c>
      <c r="J13" s="43">
        <v>0</v>
      </c>
      <c r="K13" s="43">
        <v>0</v>
      </c>
      <c r="L13" s="43">
        <v>0</v>
      </c>
      <c r="M13" s="62">
        <f t="shared" si="0"/>
        <v>180700</v>
      </c>
    </row>
    <row r="14" spans="2:13" x14ac:dyDescent="0.25">
      <c r="B14" s="64" t="s">
        <v>182</v>
      </c>
      <c r="C14" s="43"/>
      <c r="D14" s="65">
        <f>SUM(D4:D13)</f>
        <v>5269800</v>
      </c>
      <c r="E14" s="65"/>
      <c r="F14" s="65">
        <f t="shared" ref="F14:M14" si="1">SUM(F4:F13)</f>
        <v>613915.28084918181</v>
      </c>
      <c r="G14" s="65">
        <f t="shared" si="1"/>
        <v>934701.41530296323</v>
      </c>
      <c r="H14" s="45">
        <f t="shared" si="1"/>
        <v>1110614.7279964618</v>
      </c>
      <c r="I14" s="45">
        <f t="shared" si="1"/>
        <v>415903.51614329935</v>
      </c>
      <c r="J14" s="45">
        <f t="shared" si="1"/>
        <v>793921.60548429913</v>
      </c>
      <c r="K14" s="45">
        <f t="shared" si="1"/>
        <v>715057.45245466603</v>
      </c>
      <c r="L14" s="45">
        <f t="shared" si="1"/>
        <v>685686.00176912884</v>
      </c>
      <c r="M14" s="66">
        <f t="shared" si="1"/>
        <v>5269800</v>
      </c>
    </row>
    <row r="15" spans="2:13" x14ac:dyDescent="0.25">
      <c r="B15" s="61" t="s">
        <v>184</v>
      </c>
      <c r="C15" s="43" t="s">
        <v>171</v>
      </c>
      <c r="D15" s="67">
        <f>+F14</f>
        <v>613915.28084918181</v>
      </c>
      <c r="E15" s="67">
        <f>+D15/(DATOS!B59-DATOS!B57)</f>
        <v>1497.3543435345898</v>
      </c>
      <c r="F15" s="67">
        <v>0</v>
      </c>
      <c r="G15" s="67">
        <f>+E15*DATOS!B58</f>
        <v>14973.543435345899</v>
      </c>
      <c r="H15" s="43">
        <f>+E15*DATOS!B52</f>
        <v>179682.52122415078</v>
      </c>
      <c r="I15" s="43">
        <f>+E15*DATOS!B54</f>
        <v>104814.80404742129</v>
      </c>
      <c r="J15" s="43">
        <f>+E15*DATOS!B53</f>
        <v>224603.15153018848</v>
      </c>
      <c r="K15" s="43">
        <f>+E15*DATOS!B55</f>
        <v>74867.717176729493</v>
      </c>
      <c r="L15" s="43">
        <f>+E15*DATOS!B56</f>
        <v>14973.543435345899</v>
      </c>
      <c r="M15" s="66">
        <f>+SUM(F15:L15)</f>
        <v>613915.28084918181</v>
      </c>
    </row>
    <row r="16" spans="2:13" x14ac:dyDescent="0.25">
      <c r="B16" s="61" t="s">
        <v>185</v>
      </c>
      <c r="C16" s="43" t="s">
        <v>186</v>
      </c>
      <c r="D16" s="67">
        <f>+G14+G15</f>
        <v>949674.9587383091</v>
      </c>
      <c r="E16" s="67">
        <f>+D16/(DATOS!E59-DATOS!E58)</f>
        <v>15827.915978971818</v>
      </c>
      <c r="F16" s="67">
        <v>0</v>
      </c>
      <c r="G16" s="67">
        <f>+G15+G14</f>
        <v>949674.9587383091</v>
      </c>
      <c r="H16" s="43">
        <f>+E16*DATOS!E52</f>
        <v>316558.31957943633</v>
      </c>
      <c r="I16" s="43">
        <f>+E16*DATOS!E54</f>
        <v>158279.15978971816</v>
      </c>
      <c r="J16" s="43">
        <f>+E16*DATOS!E53</f>
        <v>237418.73968457727</v>
      </c>
      <c r="K16" s="43">
        <f>+E16*DATOS!E55</f>
        <v>79139.579894859082</v>
      </c>
      <c r="L16" s="43">
        <f>+E16*DATOS!E56</f>
        <v>158279.15978971816</v>
      </c>
      <c r="M16" s="62">
        <f>+SUM(G16:L16)</f>
        <v>1899349.9174766182</v>
      </c>
    </row>
    <row r="17" spans="2:13" ht="15.75" thickBot="1" x14ac:dyDescent="0.3">
      <c r="B17" s="68" t="s">
        <v>187</v>
      </c>
      <c r="C17" s="69"/>
      <c r="D17" s="70"/>
      <c r="E17" s="70"/>
      <c r="F17" s="70"/>
      <c r="G17" s="70"/>
      <c r="H17" s="70">
        <f>+H16+H15+H14</f>
        <v>1606855.5688000489</v>
      </c>
      <c r="I17" s="70">
        <f>+I16+I15+I14</f>
        <v>678997.47998043871</v>
      </c>
      <c r="J17" s="70">
        <f>+J16+J15+J14</f>
        <v>1255943.496699065</v>
      </c>
      <c r="K17" s="70">
        <f>+K16+K15+K14</f>
        <v>869064.7495262546</v>
      </c>
      <c r="L17" s="70">
        <f>+L16+L15+L14</f>
        <v>858938.70499419293</v>
      </c>
      <c r="M17" s="71">
        <f>+SUM(H17:L17)</f>
        <v>5269800.0000000009</v>
      </c>
    </row>
  </sheetData>
  <mergeCells count="2">
    <mergeCell ref="F2:G2"/>
    <mergeCell ref="H2:L2"/>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11:N79"/>
  <sheetViews>
    <sheetView topLeftCell="A44" workbookViewId="0">
      <selection activeCell="L50" sqref="L50"/>
    </sheetView>
  </sheetViews>
  <sheetFormatPr baseColWidth="10" defaultRowHeight="15" x14ac:dyDescent="0.25"/>
  <cols>
    <col min="1" max="1" width="18.85546875" style="72" customWidth="1"/>
    <col min="2" max="2" width="27" style="72" customWidth="1"/>
    <col min="3" max="3" width="17.5703125" style="72" customWidth="1"/>
    <col min="4" max="4" width="18" style="72" customWidth="1"/>
    <col min="5" max="5" width="15.7109375" style="72" customWidth="1"/>
    <col min="6" max="6" width="23.7109375" style="72" customWidth="1"/>
    <col min="7" max="7" width="11.42578125" style="72" customWidth="1"/>
    <col min="8" max="16384" width="11.42578125" style="72"/>
  </cols>
  <sheetData>
    <row r="11" spans="2:6" x14ac:dyDescent="0.25">
      <c r="B11" s="73" t="s">
        <v>188</v>
      </c>
      <c r="C11" s="73" t="s">
        <v>163</v>
      </c>
      <c r="D11" s="73" t="s">
        <v>189</v>
      </c>
      <c r="E11" s="73" t="s">
        <v>190</v>
      </c>
      <c r="F11" s="73" t="s">
        <v>191</v>
      </c>
    </row>
    <row r="12" spans="2:6" x14ac:dyDescent="0.25">
      <c r="B12" s="74" t="s">
        <v>192</v>
      </c>
      <c r="C12" s="75"/>
      <c r="D12" s="76">
        <f>+DATOS!B2*DATOS!B5</f>
        <v>3780000</v>
      </c>
      <c r="E12" s="76">
        <f>+DATOS!C2*DATOS!C5</f>
        <v>3830000</v>
      </c>
      <c r="F12" s="76">
        <f>+DATOS!D2*DATOS!D5</f>
        <v>4160000</v>
      </c>
    </row>
    <row r="13" spans="2:6" x14ac:dyDescent="0.25">
      <c r="B13" s="74" t="s">
        <v>193</v>
      </c>
      <c r="C13" s="75"/>
      <c r="D13" s="76">
        <f>+DATOS!B3*DATOS!B5</f>
        <v>1605000</v>
      </c>
      <c r="E13" s="76">
        <f>+DATOS!C3*DATOS!C5</f>
        <v>1220000</v>
      </c>
      <c r="F13" s="76">
        <f>+DATOS!D3*DATOS!D5</f>
        <v>1500000</v>
      </c>
    </row>
    <row r="14" spans="2:6" x14ac:dyDescent="0.25">
      <c r="B14" s="74" t="s">
        <v>194</v>
      </c>
      <c r="C14" s="75"/>
      <c r="D14" s="76">
        <f>+DATOS!B4*DATOS!B5</f>
        <v>585000</v>
      </c>
      <c r="E14" s="76">
        <f>+DATOS!C4*DATOS!C5</f>
        <v>750000</v>
      </c>
      <c r="F14" s="76">
        <f>+DATOS!D4*DATOS!D5</f>
        <v>700000</v>
      </c>
    </row>
    <row r="15" spans="2:6" x14ac:dyDescent="0.25">
      <c r="B15" s="77" t="s">
        <v>195</v>
      </c>
      <c r="C15" s="78"/>
      <c r="D15" s="75"/>
      <c r="E15" s="75"/>
      <c r="F15" s="75"/>
    </row>
    <row r="16" spans="2:6" x14ac:dyDescent="0.25">
      <c r="B16" s="74" t="s">
        <v>196</v>
      </c>
      <c r="C16" s="76">
        <f>+DEPARTAMENTA!H17/DATOS!E10</f>
        <v>12854.844550400392</v>
      </c>
      <c r="D16" s="76">
        <f>+C16*DATOS!B10</f>
        <v>321371.11376000982</v>
      </c>
      <c r="E16" s="76">
        <f>+C16*DATOS!C10</f>
        <v>385645.33651201177</v>
      </c>
      <c r="F16" s="76">
        <f>+C16*DATOS!D10</f>
        <v>899839.11852802744</v>
      </c>
    </row>
    <row r="17" spans="2:6" x14ac:dyDescent="0.25">
      <c r="B17" s="74" t="s">
        <v>197</v>
      </c>
      <c r="C17" s="76">
        <f>+DEPARTAMENTA!K17/DATOS!E7</f>
        <v>8276.8071383452825</v>
      </c>
      <c r="D17" s="76">
        <f>+C17*DATOS!B11</f>
        <v>289688.24984208489</v>
      </c>
      <c r="E17" s="76">
        <f>+C17*DATOS!C11</f>
        <v>331072.28553381131</v>
      </c>
      <c r="F17" s="76">
        <f>+C17*DATOS!D11</f>
        <v>248304.21415035849</v>
      </c>
    </row>
    <row r="18" spans="2:6" x14ac:dyDescent="0.25">
      <c r="B18" s="74" t="s">
        <v>198</v>
      </c>
      <c r="C18" s="76">
        <f>+DEPARTAMENTA!L17/DATOS!E8</f>
        <v>3904.2668408826953</v>
      </c>
      <c r="D18" s="76">
        <f>+C18*DATOS!B8</f>
        <v>273298.67886178865</v>
      </c>
      <c r="E18" s="76">
        <f>+C18*DATOS!C8</f>
        <v>117128.00522648086</v>
      </c>
      <c r="F18" s="76">
        <f>+C18*DATOS!D8</f>
        <v>468512.02090592345</v>
      </c>
    </row>
    <row r="19" spans="2:6" x14ac:dyDescent="0.25">
      <c r="B19" s="77" t="s">
        <v>150</v>
      </c>
      <c r="C19" s="78"/>
      <c r="D19" s="76">
        <f>+D12+D13+D14+D16+D17+D18</f>
        <v>6854358.0424638828</v>
      </c>
      <c r="E19" s="76">
        <f>+E12+E13+E14+E16+E17+E18</f>
        <v>6633845.6272723032</v>
      </c>
      <c r="F19" s="76">
        <f>+F12+F13+F14+F16+F17+F18</f>
        <v>7976655.3535843091</v>
      </c>
    </row>
    <row r="20" spans="2:6" x14ac:dyDescent="0.25">
      <c r="B20" s="77" t="s">
        <v>199</v>
      </c>
      <c r="C20" s="78"/>
      <c r="D20" s="76">
        <f>+D19/DATOS!B5</f>
        <v>45695.720283092553</v>
      </c>
      <c r="E20" s="76">
        <f>+E19/DATOS!C5</f>
        <v>66338.456272723037</v>
      </c>
      <c r="F20" s="76">
        <f>+F19/DATOS!D5</f>
        <v>39883.276767921547</v>
      </c>
    </row>
    <row r="55" spans="8:14" x14ac:dyDescent="0.25">
      <c r="H55" s="163"/>
      <c r="I55"/>
      <c r="J55"/>
      <c r="K55"/>
      <c r="L55"/>
      <c r="M55"/>
      <c r="N55"/>
    </row>
    <row r="56" spans="8:14" x14ac:dyDescent="0.25">
      <c r="H56" s="163"/>
      <c r="I56"/>
      <c r="J56"/>
      <c r="K56"/>
      <c r="L56"/>
      <c r="M56"/>
      <c r="N56"/>
    </row>
    <row r="57" spans="8:14" x14ac:dyDescent="0.25">
      <c r="H57" s="163" t="s">
        <v>278</v>
      </c>
      <c r="I57"/>
      <c r="J57"/>
      <c r="K57"/>
      <c r="L57"/>
      <c r="M57"/>
      <c r="N57"/>
    </row>
    <row r="58" spans="8:14" x14ac:dyDescent="0.25">
      <c r="H58" s="164" t="s">
        <v>279</v>
      </c>
      <c r="I58"/>
      <c r="J58"/>
      <c r="K58"/>
      <c r="L58"/>
      <c r="M58"/>
      <c r="N58"/>
    </row>
    <row r="59" spans="8:14" x14ac:dyDescent="0.25">
      <c r="H59" s="165" t="s">
        <v>280</v>
      </c>
      <c r="I59"/>
      <c r="J59"/>
      <c r="K59"/>
      <c r="L59"/>
      <c r="M59"/>
      <c r="N59"/>
    </row>
    <row r="60" spans="8:14" x14ac:dyDescent="0.25">
      <c r="H60" s="165"/>
      <c r="I60"/>
      <c r="J60"/>
      <c r="K60"/>
      <c r="L60"/>
      <c r="M60"/>
      <c r="N60"/>
    </row>
    <row r="61" spans="8:14" x14ac:dyDescent="0.25">
      <c r="H61" s="165"/>
      <c r="I61"/>
      <c r="J61"/>
      <c r="K61"/>
      <c r="L61"/>
      <c r="M61"/>
      <c r="N61"/>
    </row>
    <row r="62" spans="8:14" x14ac:dyDescent="0.25">
      <c r="H62" s="165" t="s">
        <v>281</v>
      </c>
      <c r="I62"/>
      <c r="J62"/>
      <c r="K62"/>
      <c r="L62"/>
      <c r="M62"/>
      <c r="N62"/>
    </row>
    <row r="63" spans="8:14" x14ac:dyDescent="0.25">
      <c r="H63" s="163" t="s">
        <v>282</v>
      </c>
      <c r="I63"/>
      <c r="J63"/>
      <c r="K63"/>
      <c r="L63"/>
      <c r="M63"/>
      <c r="N63"/>
    </row>
    <row r="64" spans="8:14" x14ac:dyDescent="0.25">
      <c r="H64" s="163"/>
      <c r="I64"/>
      <c r="J64"/>
      <c r="K64"/>
      <c r="L64"/>
      <c r="M64"/>
      <c r="N64"/>
    </row>
    <row r="65" spans="8:14" x14ac:dyDescent="0.25">
      <c r="H65" s="163"/>
      <c r="I65"/>
      <c r="J65"/>
      <c r="K65"/>
      <c r="L65"/>
      <c r="M65"/>
      <c r="N65"/>
    </row>
    <row r="66" spans="8:14" x14ac:dyDescent="0.25">
      <c r="H66" s="163"/>
      <c r="I66"/>
      <c r="J66"/>
      <c r="K66"/>
      <c r="L66"/>
      <c r="M66"/>
      <c r="N66"/>
    </row>
    <row r="67" spans="8:14" x14ac:dyDescent="0.25">
      <c r="H67"/>
      <c r="I67"/>
      <c r="J67"/>
      <c r="K67"/>
      <c r="L67"/>
      <c r="M67"/>
      <c r="N67"/>
    </row>
    <row r="68" spans="8:14" x14ac:dyDescent="0.25">
      <c r="H68" s="163"/>
      <c r="I68"/>
      <c r="J68"/>
      <c r="K68"/>
      <c r="L68"/>
      <c r="M68"/>
      <c r="N68"/>
    </row>
    <row r="69" spans="8:14" x14ac:dyDescent="0.25">
      <c r="H69" s="163"/>
      <c r="I69"/>
      <c r="J69"/>
      <c r="K69"/>
      <c r="L69"/>
      <c r="M69"/>
      <c r="N69"/>
    </row>
    <row r="70" spans="8:14" x14ac:dyDescent="0.25">
      <c r="H70" s="163"/>
      <c r="I70"/>
      <c r="J70"/>
      <c r="K70"/>
      <c r="L70"/>
      <c r="M70"/>
      <c r="N70"/>
    </row>
    <row r="71" spans="8:14" x14ac:dyDescent="0.25">
      <c r="H71" s="163"/>
      <c r="I71"/>
      <c r="J71"/>
      <c r="K71"/>
      <c r="L71"/>
      <c r="M71"/>
      <c r="N71"/>
    </row>
    <row r="72" spans="8:14" ht="15.75" thickBot="1" x14ac:dyDescent="0.3">
      <c r="H72" s="163"/>
      <c r="I72"/>
      <c r="J72"/>
      <c r="K72"/>
      <c r="L72"/>
      <c r="M72"/>
      <c r="N72"/>
    </row>
    <row r="73" spans="8:14" ht="15.75" thickBot="1" x14ac:dyDescent="0.3">
      <c r="H73" s="166"/>
      <c r="I73" s="167"/>
      <c r="J73" s="626" t="s">
        <v>254</v>
      </c>
      <c r="K73" s="627"/>
      <c r="L73" s="627"/>
      <c r="M73" s="627"/>
      <c r="N73" s="628"/>
    </row>
    <row r="74" spans="8:14" ht="29.25" customHeight="1" x14ac:dyDescent="0.25">
      <c r="H74" s="168" t="s">
        <v>283</v>
      </c>
      <c r="I74" s="170"/>
      <c r="J74" s="170"/>
      <c r="K74" s="170"/>
      <c r="L74" s="173"/>
      <c r="M74" s="629" t="s">
        <v>257</v>
      </c>
      <c r="N74" s="170"/>
    </row>
    <row r="75" spans="8:14" ht="45.75" thickBot="1" x14ac:dyDescent="0.3">
      <c r="H75" s="169" t="s">
        <v>255</v>
      </c>
      <c r="I75" s="171" t="s">
        <v>150</v>
      </c>
      <c r="J75" s="172" t="s">
        <v>88</v>
      </c>
      <c r="K75" s="171" t="s">
        <v>150</v>
      </c>
      <c r="L75" s="171" t="s">
        <v>256</v>
      </c>
      <c r="M75" s="630"/>
      <c r="N75" s="171" t="s">
        <v>150</v>
      </c>
    </row>
    <row r="76" spans="8:14" ht="15.75" thickBot="1" x14ac:dyDescent="0.3">
      <c r="H76" s="174" t="s">
        <v>258</v>
      </c>
      <c r="I76" s="175"/>
      <c r="J76" s="175"/>
      <c r="K76" s="175"/>
      <c r="L76" s="175"/>
      <c r="M76" s="175"/>
      <c r="N76" s="175"/>
    </row>
    <row r="77" spans="8:14" ht="15.75" thickBot="1" x14ac:dyDescent="0.3">
      <c r="H77" s="174" t="s">
        <v>259</v>
      </c>
      <c r="I77" s="175"/>
      <c r="J77" s="175"/>
      <c r="K77" s="175"/>
      <c r="L77" s="175"/>
      <c r="M77" s="175"/>
      <c r="N77" s="175"/>
    </row>
    <row r="78" spans="8:14" ht="15.75" thickBot="1" x14ac:dyDescent="0.3">
      <c r="H78" s="174" t="s">
        <v>260</v>
      </c>
      <c r="I78" s="175"/>
      <c r="J78" s="175"/>
      <c r="K78" s="175"/>
      <c r="L78" s="175"/>
      <c r="M78" s="175"/>
      <c r="N78" s="175"/>
    </row>
    <row r="79" spans="8:14" x14ac:dyDescent="0.25">
      <c r="H79" s="163"/>
      <c r="I79"/>
      <c r="J79"/>
      <c r="K79"/>
      <c r="L79"/>
      <c r="M79"/>
      <c r="N79"/>
    </row>
  </sheetData>
  <mergeCells count="2">
    <mergeCell ref="J73:N73"/>
    <mergeCell ref="M74:M75"/>
  </mergeCells>
  <pageMargins left="0.70000000000000007" right="0.70000000000000007" top="0.75" bottom="0.75" header="0.30000000000000004" footer="0.30000000000000004"/>
  <pageSetup paperSize="9" fitToWidth="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C3:R31"/>
  <sheetViews>
    <sheetView topLeftCell="C6" workbookViewId="0"/>
  </sheetViews>
  <sheetFormatPr baseColWidth="10" defaultRowHeight="15" x14ac:dyDescent="0.25"/>
  <cols>
    <col min="1" max="2" width="11.42578125" customWidth="1"/>
    <col min="3" max="3" width="51.7109375" customWidth="1"/>
    <col min="4" max="4" width="17.140625" customWidth="1"/>
    <col min="5" max="5" width="11.42578125" customWidth="1"/>
  </cols>
  <sheetData>
    <row r="3" spans="3:18" ht="23.25" x14ac:dyDescent="0.35">
      <c r="C3" s="632" t="s">
        <v>200</v>
      </c>
      <c r="D3" s="632"/>
      <c r="E3" s="79"/>
      <c r="F3" s="79"/>
      <c r="G3" s="79"/>
      <c r="H3" s="79"/>
    </row>
    <row r="4" spans="3:18" ht="23.25" x14ac:dyDescent="0.35">
      <c r="C4" s="80" t="s">
        <v>201</v>
      </c>
      <c r="D4" s="80"/>
    </row>
    <row r="5" spans="3:18" ht="23.25" x14ac:dyDescent="0.35">
      <c r="C5" s="81" t="s">
        <v>202</v>
      </c>
      <c r="D5" s="80"/>
    </row>
    <row r="6" spans="3:18" ht="23.25" x14ac:dyDescent="0.35">
      <c r="C6" s="81" t="s">
        <v>203</v>
      </c>
      <c r="D6" s="80"/>
    </row>
    <row r="7" spans="3:18" ht="23.25" x14ac:dyDescent="0.35">
      <c r="C7" s="81" t="s">
        <v>204</v>
      </c>
      <c r="D7" s="80"/>
      <c r="I7" s="599" t="s">
        <v>205</v>
      </c>
      <c r="J7" s="599"/>
      <c r="K7" s="599"/>
      <c r="L7" s="599"/>
      <c r="M7" s="599"/>
      <c r="N7" s="599"/>
      <c r="O7" s="599"/>
      <c r="P7" s="599"/>
      <c r="Q7" s="599"/>
      <c r="R7" s="599"/>
    </row>
    <row r="8" spans="3:18" ht="23.25" x14ac:dyDescent="0.35">
      <c r="C8" s="81" t="s">
        <v>206</v>
      </c>
      <c r="D8" s="80"/>
      <c r="I8" s="599"/>
      <c r="J8" s="599"/>
      <c r="K8" s="599"/>
      <c r="L8" s="599"/>
      <c r="M8" s="599"/>
      <c r="N8" s="599"/>
      <c r="O8" s="599"/>
      <c r="P8" s="599"/>
      <c r="Q8" s="599"/>
      <c r="R8" s="599"/>
    </row>
    <row r="9" spans="3:18" ht="23.25" x14ac:dyDescent="0.35">
      <c r="C9" s="81" t="s">
        <v>207</v>
      </c>
      <c r="D9" s="80"/>
    </row>
    <row r="10" spans="3:18" ht="23.25" x14ac:dyDescent="0.35">
      <c r="C10" s="81" t="s">
        <v>208</v>
      </c>
      <c r="D10" s="80"/>
    </row>
    <row r="11" spans="3:18" ht="23.25" x14ac:dyDescent="0.35">
      <c r="C11" s="81" t="s">
        <v>209</v>
      </c>
      <c r="D11" s="80"/>
    </row>
    <row r="12" spans="3:18" ht="23.25" x14ac:dyDescent="0.35">
      <c r="C12" s="81" t="s">
        <v>210</v>
      </c>
      <c r="D12" s="80"/>
    </row>
    <row r="13" spans="3:18" ht="23.25" x14ac:dyDescent="0.35">
      <c r="C13" s="81" t="s">
        <v>211</v>
      </c>
      <c r="D13" s="80"/>
    </row>
    <row r="14" spans="3:18" ht="23.25" x14ac:dyDescent="0.35">
      <c r="C14" s="81" t="s">
        <v>212</v>
      </c>
      <c r="D14" s="80"/>
    </row>
    <row r="15" spans="3:18" ht="23.25" x14ac:dyDescent="0.35">
      <c r="C15" s="81" t="s">
        <v>213</v>
      </c>
      <c r="D15" s="80"/>
    </row>
    <row r="16" spans="3:18" ht="23.25" x14ac:dyDescent="0.35">
      <c r="C16" s="81" t="s">
        <v>214</v>
      </c>
      <c r="D16" s="80"/>
    </row>
    <row r="18" spans="3:17" x14ac:dyDescent="0.25">
      <c r="C18" s="82"/>
    </row>
    <row r="19" spans="3:17" ht="23.25" x14ac:dyDescent="0.35">
      <c r="F19" s="633" t="s">
        <v>192</v>
      </c>
      <c r="G19" s="633"/>
      <c r="H19" s="633"/>
      <c r="I19" s="633"/>
      <c r="J19" s="633" t="s">
        <v>193</v>
      </c>
      <c r="K19" s="633"/>
      <c r="L19" s="633"/>
      <c r="M19" s="633"/>
      <c r="N19" s="633"/>
      <c r="O19" s="633" t="s">
        <v>96</v>
      </c>
      <c r="P19" s="633"/>
      <c r="Q19" s="633"/>
    </row>
    <row r="20" spans="3:17" ht="56.25" x14ac:dyDescent="0.25">
      <c r="F20" s="83" t="s">
        <v>215</v>
      </c>
      <c r="G20" s="83" t="s">
        <v>216</v>
      </c>
      <c r="H20" s="83" t="s">
        <v>217</v>
      </c>
      <c r="I20" s="83" t="s">
        <v>218</v>
      </c>
      <c r="J20" s="83" t="s">
        <v>215</v>
      </c>
      <c r="K20" s="83" t="s">
        <v>216</v>
      </c>
      <c r="L20" s="83" t="s">
        <v>109</v>
      </c>
      <c r="M20" s="83" t="s">
        <v>219</v>
      </c>
      <c r="N20" s="83" t="s">
        <v>220</v>
      </c>
      <c r="O20" s="83" t="s">
        <v>221</v>
      </c>
      <c r="P20" s="83" t="s">
        <v>222</v>
      </c>
      <c r="Q20" s="83" t="s">
        <v>223</v>
      </c>
    </row>
    <row r="21" spans="3:17" x14ac:dyDescent="0.25">
      <c r="F21" s="84"/>
      <c r="G21" s="84"/>
      <c r="H21" s="84"/>
      <c r="I21" s="84"/>
      <c r="J21" s="84"/>
      <c r="K21" s="84"/>
      <c r="L21" s="84"/>
      <c r="M21" s="84"/>
      <c r="N21" s="84"/>
      <c r="O21" s="84"/>
      <c r="P21" s="84"/>
      <c r="Q21" s="84"/>
    </row>
    <row r="22" spans="3:17" x14ac:dyDescent="0.25">
      <c r="F22" s="84"/>
      <c r="G22" s="84"/>
      <c r="H22" s="84"/>
      <c r="I22" s="84"/>
      <c r="J22" s="84"/>
      <c r="K22" s="84"/>
      <c r="L22" s="84"/>
      <c r="M22" s="84"/>
      <c r="N22" s="84"/>
      <c r="O22" s="84"/>
      <c r="P22" s="84"/>
      <c r="Q22" s="84"/>
    </row>
    <row r="23" spans="3:17" x14ac:dyDescent="0.25">
      <c r="F23" s="84"/>
      <c r="G23" s="84"/>
      <c r="H23" s="84"/>
      <c r="I23" s="84"/>
      <c r="J23" s="84"/>
      <c r="K23" s="84"/>
      <c r="L23" s="84"/>
      <c r="M23" s="84"/>
      <c r="N23" s="84"/>
      <c r="O23" s="84"/>
      <c r="P23" s="84"/>
      <c r="Q23" s="84"/>
    </row>
    <row r="24" spans="3:17" x14ac:dyDescent="0.25">
      <c r="F24" s="84"/>
      <c r="G24" s="84"/>
      <c r="H24" s="84"/>
      <c r="I24" s="84"/>
      <c r="J24" s="84"/>
      <c r="K24" s="84"/>
      <c r="L24" s="84"/>
      <c r="M24" s="84"/>
      <c r="N24" s="84"/>
      <c r="O24" s="84"/>
      <c r="P24" s="84"/>
      <c r="Q24" s="84"/>
    </row>
    <row r="25" spans="3:17" x14ac:dyDescent="0.25">
      <c r="F25" s="84"/>
      <c r="G25" s="84"/>
      <c r="H25" s="84"/>
      <c r="I25" s="84"/>
      <c r="J25" s="84"/>
      <c r="K25" s="84"/>
      <c r="L25" s="84"/>
      <c r="M25" s="84"/>
      <c r="N25" s="84"/>
      <c r="O25" s="84"/>
      <c r="P25" s="84"/>
      <c r="Q25" s="84"/>
    </row>
    <row r="26" spans="3:17" x14ac:dyDescent="0.25">
      <c r="F26" s="84"/>
      <c r="G26" s="84"/>
      <c r="H26" s="84"/>
      <c r="I26" s="84"/>
      <c r="J26" s="84"/>
      <c r="K26" s="84"/>
      <c r="L26" s="84"/>
      <c r="M26" s="84"/>
      <c r="N26" s="84"/>
      <c r="O26" s="84"/>
      <c r="P26" s="84"/>
      <c r="Q26" s="84"/>
    </row>
    <row r="27" spans="3:17" x14ac:dyDescent="0.25">
      <c r="F27" s="84"/>
      <c r="G27" s="84"/>
      <c r="H27" s="84"/>
      <c r="I27" s="84"/>
      <c r="J27" s="84"/>
      <c r="K27" s="84"/>
      <c r="L27" s="84"/>
      <c r="M27" s="84"/>
      <c r="N27" s="84"/>
      <c r="O27" s="84"/>
      <c r="P27" s="84"/>
      <c r="Q27" s="84"/>
    </row>
    <row r="28" spans="3:17" x14ac:dyDescent="0.25">
      <c r="F28" s="84"/>
      <c r="G28" s="84"/>
      <c r="H28" s="84"/>
      <c r="I28" s="84"/>
      <c r="J28" s="84"/>
      <c r="K28" s="84"/>
      <c r="L28" s="84"/>
      <c r="M28" s="84"/>
      <c r="N28" s="84"/>
      <c r="O28" s="84"/>
      <c r="P28" s="84"/>
      <c r="Q28" s="84"/>
    </row>
    <row r="29" spans="3:17" x14ac:dyDescent="0.25">
      <c r="F29" s="84"/>
      <c r="G29" s="84"/>
      <c r="H29" s="84"/>
      <c r="I29" s="84"/>
      <c r="J29" s="84"/>
      <c r="K29" s="84"/>
      <c r="L29" s="84"/>
      <c r="M29" s="84"/>
      <c r="N29" s="84"/>
      <c r="O29" s="84"/>
      <c r="P29" s="84"/>
      <c r="Q29" s="84"/>
    </row>
    <row r="30" spans="3:17" x14ac:dyDescent="0.25">
      <c r="F30" s="84"/>
      <c r="G30" s="84"/>
      <c r="H30" s="84"/>
      <c r="I30" s="84"/>
      <c r="J30" s="84"/>
      <c r="K30" s="84"/>
      <c r="L30" s="84"/>
      <c r="M30" s="84"/>
      <c r="N30" s="84"/>
      <c r="O30" s="84"/>
      <c r="P30" s="84"/>
      <c r="Q30" s="84"/>
    </row>
    <row r="31" spans="3:17" ht="21" x14ac:dyDescent="0.25">
      <c r="F31" s="631" t="s">
        <v>6</v>
      </c>
      <c r="G31" s="631"/>
      <c r="H31" s="631"/>
      <c r="I31" s="631"/>
      <c r="J31" s="631" t="s">
        <v>6</v>
      </c>
      <c r="K31" s="631"/>
      <c r="L31" s="631"/>
      <c r="M31" s="631"/>
      <c r="N31" s="631"/>
      <c r="O31" s="631" t="s">
        <v>6</v>
      </c>
      <c r="P31" s="631"/>
      <c r="Q31" s="631"/>
    </row>
  </sheetData>
  <mergeCells count="8">
    <mergeCell ref="F31:I31"/>
    <mergeCell ref="J31:N31"/>
    <mergeCell ref="O31:Q31"/>
    <mergeCell ref="C3:D3"/>
    <mergeCell ref="I7:R8"/>
    <mergeCell ref="F19:I19"/>
    <mergeCell ref="J19:N19"/>
    <mergeCell ref="O19:Q19"/>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dimension ref="C4:O33"/>
  <sheetViews>
    <sheetView zoomScale="90" zoomScaleNormal="90" workbookViewId="0">
      <selection activeCell="I8" sqref="I8"/>
    </sheetView>
  </sheetViews>
  <sheetFormatPr baseColWidth="10" defaultRowHeight="15" x14ac:dyDescent="0.25"/>
  <cols>
    <col min="3" max="4" width="14" customWidth="1"/>
    <col min="6" max="7" width="17.5703125" customWidth="1"/>
    <col min="9" max="9" width="15.5703125" customWidth="1"/>
    <col min="10" max="10" width="9.42578125" customWidth="1"/>
    <col min="11" max="11" width="10.28515625" customWidth="1"/>
    <col min="12" max="12" width="10.140625" customWidth="1"/>
    <col min="13" max="14" width="13.85546875" customWidth="1"/>
  </cols>
  <sheetData>
    <row r="4" spans="3:15" ht="15.75" thickBot="1" x14ac:dyDescent="0.3"/>
    <row r="5" spans="3:15" ht="15.75" customHeight="1" thickBot="1" x14ac:dyDescent="0.3">
      <c r="C5" s="638" t="s">
        <v>254</v>
      </c>
      <c r="D5" s="639"/>
      <c r="E5" s="639"/>
      <c r="F5" s="639"/>
      <c r="G5" s="639"/>
      <c r="H5" s="639"/>
      <c r="I5" s="639"/>
      <c r="J5" s="639"/>
      <c r="K5" s="639"/>
      <c r="L5" s="639"/>
      <c r="M5" s="639"/>
      <c r="N5" s="639"/>
      <c r="O5" s="640"/>
    </row>
    <row r="6" spans="3:15" ht="25.5" customHeight="1" thickBot="1" x14ac:dyDescent="0.3">
      <c r="C6" s="641" t="s">
        <v>255</v>
      </c>
      <c r="D6" s="644"/>
      <c r="E6" s="645"/>
      <c r="F6" s="641" t="s">
        <v>88</v>
      </c>
      <c r="G6" s="642"/>
      <c r="H6" s="643"/>
      <c r="I6" s="641" t="s">
        <v>256</v>
      </c>
      <c r="J6" s="644"/>
      <c r="K6" s="645"/>
      <c r="L6" s="641" t="s">
        <v>257</v>
      </c>
      <c r="M6" s="644"/>
      <c r="N6" s="644"/>
      <c r="O6" s="645"/>
    </row>
    <row r="7" spans="3:15" ht="47.25" customHeight="1" thickBot="1" x14ac:dyDescent="0.3">
      <c r="C7" s="116" t="s">
        <v>263</v>
      </c>
      <c r="D7" s="114" t="s">
        <v>262</v>
      </c>
      <c r="E7" s="114" t="s">
        <v>150</v>
      </c>
      <c r="F7" s="114" t="s">
        <v>88</v>
      </c>
      <c r="G7" s="114" t="s">
        <v>261</v>
      </c>
      <c r="H7" s="114" t="s">
        <v>150</v>
      </c>
      <c r="I7" s="114" t="s">
        <v>266</v>
      </c>
      <c r="J7" s="114" t="s">
        <v>264</v>
      </c>
      <c r="K7" s="118" t="s">
        <v>265</v>
      </c>
      <c r="L7" s="116" t="s">
        <v>268</v>
      </c>
      <c r="M7" s="116" t="s">
        <v>269</v>
      </c>
      <c r="N7" s="121" t="s">
        <v>267</v>
      </c>
      <c r="O7" s="114" t="s">
        <v>150</v>
      </c>
    </row>
    <row r="8" spans="3:15" ht="15.75" thickBot="1" x14ac:dyDescent="0.3">
      <c r="C8" s="115" t="s">
        <v>258</v>
      </c>
      <c r="D8" s="117">
        <v>35</v>
      </c>
      <c r="E8" s="117">
        <f>24000*D8</f>
        <v>840000</v>
      </c>
      <c r="F8" s="117">
        <f>E8</f>
        <v>840000</v>
      </c>
      <c r="G8" s="117">
        <v>12500</v>
      </c>
      <c r="H8" s="117">
        <f>F8+G8</f>
        <v>852500</v>
      </c>
      <c r="I8" s="123">
        <f>+MOD_ALUMINIO_!P22</f>
        <v>119836.46870161859</v>
      </c>
      <c r="J8" s="117">
        <v>45</v>
      </c>
      <c r="K8" s="117">
        <f>I8*J8</f>
        <v>5392641.091572837</v>
      </c>
      <c r="L8" s="117">
        <v>543200</v>
      </c>
      <c r="M8" s="117">
        <v>22000</v>
      </c>
      <c r="N8" s="99">
        <f>(L8+M8)/J8</f>
        <v>12560</v>
      </c>
      <c r="O8" s="117">
        <f>N8*J8</f>
        <v>565200</v>
      </c>
    </row>
    <row r="9" spans="3:15" ht="15.75" thickBot="1" x14ac:dyDescent="0.3">
      <c r="C9" s="115"/>
      <c r="D9" s="117" t="s">
        <v>270</v>
      </c>
      <c r="E9" s="117"/>
      <c r="F9" s="117"/>
      <c r="G9" s="117"/>
      <c r="H9" s="117"/>
      <c r="I9" s="123"/>
      <c r="J9" s="117"/>
      <c r="K9" s="117"/>
      <c r="L9" s="117"/>
      <c r="M9" s="117"/>
      <c r="N9" s="99"/>
      <c r="O9" s="117"/>
    </row>
    <row r="10" spans="3:15" ht="15.75" thickBot="1" x14ac:dyDescent="0.3">
      <c r="C10" s="115"/>
      <c r="D10" s="117"/>
      <c r="E10" s="117"/>
      <c r="F10" s="117"/>
      <c r="G10" s="117"/>
      <c r="H10" s="117"/>
      <c r="I10" s="123"/>
      <c r="J10" s="117"/>
      <c r="K10" s="117"/>
      <c r="L10" s="117"/>
      <c r="M10" s="117"/>
      <c r="N10" s="99"/>
      <c r="O10" s="117"/>
    </row>
    <row r="11" spans="3:15" ht="15.75" thickBot="1" x14ac:dyDescent="0.3">
      <c r="C11" s="115"/>
      <c r="D11" s="117"/>
      <c r="E11" s="117"/>
      <c r="F11" s="117"/>
      <c r="G11" s="117"/>
      <c r="H11" s="117"/>
      <c r="I11" s="123"/>
      <c r="J11" s="117"/>
      <c r="K11" s="117"/>
      <c r="L11" s="117"/>
      <c r="M11" s="117"/>
      <c r="N11" s="99"/>
      <c r="O11" s="117"/>
    </row>
    <row r="12" spans="3:15" ht="15.75" thickBot="1" x14ac:dyDescent="0.3">
      <c r="C12" s="115"/>
      <c r="D12" s="117"/>
      <c r="E12" s="117"/>
      <c r="F12" s="117"/>
      <c r="G12" s="117"/>
      <c r="H12" s="117"/>
      <c r="I12" s="123"/>
      <c r="J12" s="117"/>
      <c r="K12" s="117"/>
      <c r="L12" s="117"/>
      <c r="M12" s="117"/>
      <c r="N12" s="99"/>
      <c r="O12" s="117"/>
    </row>
    <row r="13" spans="3:15" ht="15.75" thickBot="1" x14ac:dyDescent="0.3">
      <c r="C13" s="115"/>
      <c r="D13" s="117"/>
      <c r="E13" s="117"/>
      <c r="F13" s="117"/>
      <c r="G13" s="117"/>
      <c r="H13" s="117"/>
      <c r="I13" s="123"/>
      <c r="J13" s="117"/>
      <c r="K13" s="117"/>
      <c r="L13" s="117"/>
      <c r="M13" s="117"/>
      <c r="N13" s="99"/>
      <c r="O13" s="117"/>
    </row>
    <row r="14" spans="3:15" ht="15.75" thickBot="1" x14ac:dyDescent="0.3">
      <c r="C14" s="115"/>
      <c r="D14" s="117"/>
      <c r="E14" s="117"/>
      <c r="F14" s="117"/>
      <c r="G14" s="117"/>
      <c r="H14" s="117"/>
      <c r="I14" s="123"/>
      <c r="J14" s="117"/>
      <c r="K14" s="117"/>
      <c r="L14" s="117"/>
      <c r="M14" s="117"/>
      <c r="N14" s="99"/>
      <c r="O14" s="117"/>
    </row>
    <row r="15" spans="3:15" ht="15.75" thickBot="1" x14ac:dyDescent="0.3">
      <c r="C15" s="115"/>
      <c r="D15" s="117"/>
      <c r="E15" s="117"/>
      <c r="F15" s="117"/>
      <c r="G15" s="117"/>
      <c r="H15" s="117"/>
      <c r="I15" s="123"/>
      <c r="J15" s="117"/>
      <c r="K15" s="117"/>
      <c r="L15" s="117"/>
      <c r="M15" s="117"/>
      <c r="N15" s="99"/>
      <c r="O15" s="117"/>
    </row>
    <row r="16" spans="3:15" ht="15.75" thickBot="1" x14ac:dyDescent="0.3">
      <c r="C16" s="115"/>
      <c r="D16" s="117"/>
      <c r="E16" s="117"/>
      <c r="F16" s="117"/>
      <c r="G16" s="117"/>
      <c r="H16" s="117"/>
      <c r="I16" s="123"/>
      <c r="J16" s="117"/>
      <c r="K16" s="117"/>
      <c r="L16" s="117"/>
      <c r="M16" s="117"/>
      <c r="N16" s="99"/>
      <c r="O16" s="117"/>
    </row>
    <row r="17" spans="3:15" ht="15.75" thickBot="1" x14ac:dyDescent="0.3">
      <c r="C17" s="115" t="s">
        <v>259</v>
      </c>
      <c r="D17" s="117">
        <v>0</v>
      </c>
      <c r="E17" s="117">
        <f>34000*D17</f>
        <v>0</v>
      </c>
      <c r="F17" s="117">
        <f t="shared" ref="F17:F18" si="0">E17</f>
        <v>0</v>
      </c>
      <c r="G17" s="117"/>
      <c r="H17" s="117">
        <f t="shared" ref="H17:H18" si="1">F17+G17</f>
        <v>0</v>
      </c>
      <c r="I17" s="117">
        <v>32500</v>
      </c>
      <c r="J17" s="117">
        <v>12</v>
      </c>
      <c r="K17" s="117">
        <f t="shared" ref="K17:K18" si="2">I17*J17</f>
        <v>390000</v>
      </c>
      <c r="L17" s="117">
        <v>43200</v>
      </c>
      <c r="M17" s="117">
        <v>22000</v>
      </c>
      <c r="N17" s="99">
        <f t="shared" ref="N17" si="3">(L17+M17)/J17</f>
        <v>5433.333333333333</v>
      </c>
      <c r="O17" s="117">
        <f>N17*J17</f>
        <v>65200</v>
      </c>
    </row>
    <row r="18" spans="3:15" ht="15.75" thickBot="1" x14ac:dyDescent="0.3">
      <c r="C18" s="115" t="s">
        <v>260</v>
      </c>
      <c r="D18" s="117">
        <v>2</v>
      </c>
      <c r="E18" s="117">
        <f>18500*D18</f>
        <v>37000</v>
      </c>
      <c r="F18" s="117">
        <f t="shared" si="0"/>
        <v>37000</v>
      </c>
      <c r="G18" s="117"/>
      <c r="H18" s="117">
        <f t="shared" si="1"/>
        <v>37000</v>
      </c>
      <c r="I18" s="117">
        <v>45200</v>
      </c>
      <c r="J18" s="117">
        <v>3</v>
      </c>
      <c r="K18" s="117">
        <f t="shared" si="2"/>
        <v>135600</v>
      </c>
      <c r="L18" s="117">
        <v>354000</v>
      </c>
      <c r="M18" s="117">
        <v>22000</v>
      </c>
      <c r="N18" s="99">
        <f>(K18+M18)/J18</f>
        <v>52533.333333333336</v>
      </c>
      <c r="O18" s="117">
        <f>N18*J18</f>
        <v>157600</v>
      </c>
    </row>
    <row r="19" spans="3:15" ht="15.75" thickBot="1" x14ac:dyDescent="0.3">
      <c r="C19" s="634">
        <f>SUM(E8:E18)</f>
        <v>877000</v>
      </c>
      <c r="D19" s="635"/>
      <c r="E19" s="636"/>
      <c r="F19" s="601">
        <f>SUM(H8:H18)</f>
        <v>889500</v>
      </c>
      <c r="G19" s="637"/>
      <c r="H19" s="586"/>
      <c r="I19" s="601">
        <f>SUM(K8:K18)</f>
        <v>5918241.091572837</v>
      </c>
      <c r="J19" s="637"/>
      <c r="K19" s="586"/>
      <c r="L19" s="601">
        <f>SUM(O8:O18)</f>
        <v>788000</v>
      </c>
      <c r="M19" s="637"/>
      <c r="N19" s="637"/>
      <c r="O19" s="586"/>
    </row>
    <row r="25" spans="3:15" x14ac:dyDescent="0.25">
      <c r="M25" s="120"/>
      <c r="N25" s="120"/>
    </row>
    <row r="33" spans="9:9" x14ac:dyDescent="0.25">
      <c r="I33" s="119"/>
    </row>
  </sheetData>
  <mergeCells count="9">
    <mergeCell ref="C19:E19"/>
    <mergeCell ref="I19:K19"/>
    <mergeCell ref="F19:H19"/>
    <mergeCell ref="L19:O19"/>
    <mergeCell ref="C5:O5"/>
    <mergeCell ref="F6:H6"/>
    <mergeCell ref="C6:E6"/>
    <mergeCell ref="I6:K6"/>
    <mergeCell ref="L6:O6"/>
  </mergeCells>
  <pageMargins left="0.7" right="0.7" top="0.75" bottom="0.75" header="0.3" footer="0.3"/>
  <pageSetup paperSize="9"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tabColor rgb="FFFF0000"/>
  </sheetPr>
  <dimension ref="B3:M69"/>
  <sheetViews>
    <sheetView topLeftCell="C1" zoomScaleNormal="100" workbookViewId="0">
      <selection activeCell="F7" sqref="F7"/>
    </sheetView>
  </sheetViews>
  <sheetFormatPr baseColWidth="10" defaultRowHeight="15" x14ac:dyDescent="0.25"/>
  <cols>
    <col min="1" max="1" width="5.28515625" style="180" customWidth="1"/>
    <col min="2" max="2" width="44.140625" style="180" customWidth="1"/>
    <col min="3" max="3" width="21.5703125" style="180" customWidth="1"/>
    <col min="4" max="4" width="28.5703125" style="180" customWidth="1"/>
    <col min="5" max="5" width="18" style="180" customWidth="1"/>
    <col min="6" max="6" width="35.5703125" style="180" customWidth="1"/>
    <col min="7" max="7" width="23" style="180" customWidth="1"/>
    <col min="8" max="8" width="25.5703125" style="180" customWidth="1"/>
    <col min="9" max="9" width="13.85546875" style="180" customWidth="1"/>
    <col min="10" max="10" width="38.85546875" style="180" customWidth="1"/>
    <col min="11" max="11" width="20.28515625" style="180" customWidth="1"/>
    <col min="12" max="12" width="26.42578125" style="180" customWidth="1"/>
    <col min="13" max="16384" width="11.42578125" style="180"/>
  </cols>
  <sheetData>
    <row r="3" spans="2:11" x14ac:dyDescent="0.25">
      <c r="G3" s="188"/>
    </row>
    <row r="4" spans="2:11" x14ac:dyDescent="0.25">
      <c r="G4" s="188"/>
    </row>
    <row r="5" spans="2:11" x14ac:dyDescent="0.25">
      <c r="B5" s="649" t="s">
        <v>144</v>
      </c>
      <c r="C5" s="650"/>
      <c r="D5" s="650"/>
      <c r="E5" s="650"/>
      <c r="F5" s="651"/>
      <c r="G5" s="189"/>
    </row>
    <row r="6" spans="2:11" x14ac:dyDescent="0.25">
      <c r="B6" s="190" t="s">
        <v>1038</v>
      </c>
      <c r="C6" s="190" t="s">
        <v>1039</v>
      </c>
      <c r="D6" s="190" t="s">
        <v>1040</v>
      </c>
      <c r="E6" s="190" t="s">
        <v>1199</v>
      </c>
      <c r="F6" s="190" t="s">
        <v>1041</v>
      </c>
      <c r="G6" s="188"/>
    </row>
    <row r="7" spans="2:11" x14ac:dyDescent="0.25">
      <c r="B7" s="191" t="s">
        <v>1042</v>
      </c>
      <c r="C7" s="192">
        <f>+(29.5+8.3)*2</f>
        <v>75.599999999999994</v>
      </c>
      <c r="D7" s="192">
        <v>16</v>
      </c>
      <c r="E7" s="192">
        <v>9</v>
      </c>
      <c r="F7" s="193">
        <f>+'PERFIL ALUMINO'!$C$111+'SISTEMAS DE ALUMINIO'!$D$145+'ACCESORIOS DE ALUMINIO Y ACERO'!$D$286+MOD_ALUMINIO_!$P$22</f>
        <v>2720760.3053682856</v>
      </c>
      <c r="G7" s="188"/>
    </row>
    <row r="8" spans="2:11" x14ac:dyDescent="0.25">
      <c r="B8" s="191" t="s">
        <v>1043</v>
      </c>
      <c r="C8" s="192">
        <f>+(20+3.34)</f>
        <v>23.34</v>
      </c>
      <c r="D8" s="192">
        <v>5</v>
      </c>
      <c r="E8" s="192">
        <v>6</v>
      </c>
      <c r="F8" s="193">
        <f>+ACERO!$C$208+'ACCESORIOS DE ALUMINIO Y ACERO'!$D$286+MOD_ACERO!$P$12</f>
        <v>10994028.747015014</v>
      </c>
      <c r="G8" s="188"/>
    </row>
    <row r="9" spans="2:11" x14ac:dyDescent="0.25">
      <c r="B9" s="191" t="s">
        <v>1044</v>
      </c>
      <c r="C9" s="192">
        <f>+(11.3+7.8)*2+(7+7.2)*2</f>
        <v>66.599999999999994</v>
      </c>
      <c r="D9" s="192">
        <v>0</v>
      </c>
      <c r="E9" s="192">
        <v>6</v>
      </c>
      <c r="F9" s="193">
        <f>+'PERFIL Y ACCESORIOS HIERRO'!$C$95+'MOD HIERRO '!$K$8</f>
        <v>1795850</v>
      </c>
      <c r="G9" s="188"/>
    </row>
    <row r="10" spans="2:11" x14ac:dyDescent="0.25">
      <c r="B10" s="191" t="s">
        <v>1045</v>
      </c>
      <c r="C10" s="192">
        <f>+(9.5+3)*2+(10+4.65)*2</f>
        <v>54.3</v>
      </c>
      <c r="D10" s="192">
        <v>5</v>
      </c>
      <c r="E10" s="192">
        <v>10</v>
      </c>
      <c r="F10" s="193">
        <v>0</v>
      </c>
      <c r="G10" s="188"/>
    </row>
    <row r="11" spans="2:11" x14ac:dyDescent="0.25">
      <c r="B11" s="191" t="s">
        <v>1046</v>
      </c>
      <c r="C11" s="192">
        <f>+(5.5+4.26)*2+(3.75+4.26)*2</f>
        <v>35.54</v>
      </c>
      <c r="D11" s="192">
        <v>1</v>
      </c>
      <c r="E11" s="192">
        <v>3</v>
      </c>
      <c r="F11" s="193">
        <v>0</v>
      </c>
      <c r="G11" s="188"/>
    </row>
    <row r="12" spans="2:11" x14ac:dyDescent="0.25">
      <c r="B12" s="275" t="s">
        <v>104</v>
      </c>
      <c r="C12" s="276">
        <f>SUM(C7:C11)</f>
        <v>255.37999999999997</v>
      </c>
      <c r="D12" s="276">
        <f>SUM(D7:D11)</f>
        <v>27</v>
      </c>
      <c r="E12" s="192">
        <f>SUM(E7:E11)</f>
        <v>34</v>
      </c>
      <c r="F12" s="193">
        <f>SUM(F7:F11)</f>
        <v>15510639.0523833</v>
      </c>
      <c r="G12" s="188"/>
    </row>
    <row r="13" spans="2:11" x14ac:dyDescent="0.25">
      <c r="B13" s="277"/>
      <c r="C13" s="184"/>
      <c r="D13" s="179"/>
    </row>
    <row r="14" spans="2:11" x14ac:dyDescent="0.25">
      <c r="B14" s="186"/>
      <c r="C14" s="186"/>
      <c r="D14" s="186"/>
    </row>
    <row r="15" spans="2:11" ht="15.75" thickBot="1" x14ac:dyDescent="0.3">
      <c r="B15" s="178"/>
    </row>
    <row r="16" spans="2:11" x14ac:dyDescent="0.25">
      <c r="B16" s="652" t="s">
        <v>115</v>
      </c>
      <c r="C16" s="654" t="s">
        <v>116</v>
      </c>
      <c r="D16" s="656" t="s">
        <v>1047</v>
      </c>
      <c r="E16" s="656" t="s">
        <v>1048</v>
      </c>
      <c r="F16" s="646" t="s">
        <v>1049</v>
      </c>
      <c r="G16" s="646"/>
      <c r="H16" s="646" t="s">
        <v>1050</v>
      </c>
      <c r="I16" s="646"/>
      <c r="J16" s="646"/>
      <c r="K16" s="647" t="s">
        <v>150</v>
      </c>
    </row>
    <row r="17" spans="2:13" x14ac:dyDescent="0.25">
      <c r="B17" s="653"/>
      <c r="C17" s="655"/>
      <c r="D17" s="657"/>
      <c r="E17" s="657"/>
      <c r="F17" s="237" t="s">
        <v>1051</v>
      </c>
      <c r="G17" s="237" t="s">
        <v>1092</v>
      </c>
      <c r="H17" s="237" t="s">
        <v>1042</v>
      </c>
      <c r="I17" s="237" t="s">
        <v>1043</v>
      </c>
      <c r="J17" s="237" t="s">
        <v>1044</v>
      </c>
      <c r="K17" s="648"/>
    </row>
    <row r="18" spans="2:13" x14ac:dyDescent="0.25">
      <c r="B18" s="238" t="s">
        <v>1052</v>
      </c>
      <c r="C18" s="239">
        <v>500000</v>
      </c>
      <c r="D18" s="239"/>
      <c r="E18" s="240" t="s">
        <v>1053</v>
      </c>
      <c r="F18" s="239">
        <v>0</v>
      </c>
      <c r="G18" s="239">
        <v>0</v>
      </c>
      <c r="H18" s="239">
        <v>0</v>
      </c>
      <c r="I18" s="239">
        <v>0</v>
      </c>
      <c r="J18" s="239">
        <f>+C18</f>
        <v>500000</v>
      </c>
      <c r="K18" s="259">
        <f>SUM($F$18:$J$18)</f>
        <v>500000</v>
      </c>
    </row>
    <row r="19" spans="2:13" x14ac:dyDescent="0.25">
      <c r="B19" s="238" t="s">
        <v>1054</v>
      </c>
      <c r="C19" s="239">
        <v>367000</v>
      </c>
      <c r="D19" s="239"/>
      <c r="E19" s="240" t="s">
        <v>1053</v>
      </c>
      <c r="F19" s="239">
        <v>0</v>
      </c>
      <c r="G19" s="239">
        <v>0</v>
      </c>
      <c r="H19" s="239">
        <v>0</v>
      </c>
      <c r="I19" s="239">
        <v>0</v>
      </c>
      <c r="J19" s="239">
        <f>+C19</f>
        <v>367000</v>
      </c>
      <c r="K19" s="259">
        <f>SUM($F$19:$J$19)</f>
        <v>367000</v>
      </c>
    </row>
    <row r="20" spans="2:13" x14ac:dyDescent="0.25">
      <c r="B20" s="238" t="s">
        <v>1055</v>
      </c>
      <c r="C20" s="241">
        <v>500000</v>
      </c>
      <c r="D20" s="239"/>
      <c r="E20" s="240" t="s">
        <v>1053</v>
      </c>
      <c r="F20" s="239">
        <v>0</v>
      </c>
      <c r="G20" s="239">
        <v>0</v>
      </c>
      <c r="H20" s="239">
        <f>$C$20*30%</f>
        <v>150000</v>
      </c>
      <c r="I20" s="239">
        <f>$C$20*55%</f>
        <v>275000</v>
      </c>
      <c r="J20" s="239">
        <f>$C$20*15%</f>
        <v>75000</v>
      </c>
      <c r="K20" s="259">
        <f>SUM($F$20:$J$20)</f>
        <v>500000</v>
      </c>
    </row>
    <row r="21" spans="2:13" x14ac:dyDescent="0.25">
      <c r="B21" s="238" t="s">
        <v>1056</v>
      </c>
      <c r="C21" s="239">
        <v>807069</v>
      </c>
      <c r="D21" s="239"/>
      <c r="E21" s="240" t="s">
        <v>1053</v>
      </c>
      <c r="F21" s="239">
        <v>0</v>
      </c>
      <c r="G21" s="239">
        <v>0</v>
      </c>
      <c r="H21" s="239">
        <v>0</v>
      </c>
      <c r="I21" s="239">
        <f>$C$21</f>
        <v>807069</v>
      </c>
      <c r="J21" s="239">
        <v>0</v>
      </c>
      <c r="K21" s="259">
        <f>SUM($F$21:$J$21)</f>
        <v>807069</v>
      </c>
    </row>
    <row r="22" spans="2:13" x14ac:dyDescent="0.25">
      <c r="B22" s="238" t="s">
        <v>1057</v>
      </c>
      <c r="C22" s="239">
        <v>3600000</v>
      </c>
      <c r="D22" s="242">
        <f>$C$22/$F$12</f>
        <v>0.23209875414171532</v>
      </c>
      <c r="E22" s="240" t="s">
        <v>1058</v>
      </c>
      <c r="F22" s="239">
        <v>0</v>
      </c>
      <c r="G22" s="239">
        <v>0</v>
      </c>
      <c r="H22" s="239">
        <f>$F$7*$D$22</f>
        <v>631485.077194212</v>
      </c>
      <c r="I22" s="239">
        <f>$F$8*$D$22</f>
        <v>2551700.3751803883</v>
      </c>
      <c r="J22" s="239">
        <f>$F$9*$D$22</f>
        <v>416814.54762539949</v>
      </c>
      <c r="K22" s="259">
        <f>SUM($F$22:$J$22)</f>
        <v>3600000</v>
      </c>
      <c r="L22"/>
      <c r="M22" s="281" t="s">
        <v>1095</v>
      </c>
    </row>
    <row r="23" spans="2:13" x14ac:dyDescent="0.25">
      <c r="B23" s="238" t="s">
        <v>1059</v>
      </c>
      <c r="C23" s="239">
        <v>882000</v>
      </c>
      <c r="D23" s="239">
        <f>$C$23/$C$12</f>
        <v>3453.6768736784406</v>
      </c>
      <c r="E23" s="240" t="s">
        <v>1060</v>
      </c>
      <c r="F23" s="239">
        <f>$D$23*$C$10</f>
        <v>187534.65424073933</v>
      </c>
      <c r="G23" s="239">
        <f>$D$23*$C$11</f>
        <v>122743.67609053178</v>
      </c>
      <c r="H23" s="239">
        <f>$D$23*$C$7</f>
        <v>261097.9716500901</v>
      </c>
      <c r="I23" s="239">
        <f>$D$23*$C$8</f>
        <v>80608.818231654805</v>
      </c>
      <c r="J23" s="239">
        <f>$D$23*$C$9</f>
        <v>230014.87978698412</v>
      </c>
      <c r="K23" s="259">
        <f>SUM($F$23:$J$23)</f>
        <v>882000.00000000023</v>
      </c>
    </row>
    <row r="24" spans="2:13" x14ac:dyDescent="0.25">
      <c r="B24" s="243" t="s">
        <v>1061</v>
      </c>
      <c r="C24" s="239">
        <v>851688</v>
      </c>
      <c r="D24" s="242">
        <f>$C$24/($F$12-$F$9)</f>
        <v>6.209997082324771E-2</v>
      </c>
      <c r="E24" s="240" t="s">
        <v>1058</v>
      </c>
      <c r="F24" s="239">
        <v>0</v>
      </c>
      <c r="G24" s="239">
        <v>0</v>
      </c>
      <c r="H24" s="239">
        <f>$D$24*$F$7</f>
        <v>168959.13558042108</v>
      </c>
      <c r="I24" s="239">
        <f>$D$24*$F$8</f>
        <v>682728.86441957892</v>
      </c>
      <c r="J24" s="239">
        <v>0</v>
      </c>
      <c r="K24" s="259">
        <f>SUM($F$24:$J$24)</f>
        <v>851688</v>
      </c>
    </row>
    <row r="25" spans="2:13" x14ac:dyDescent="0.25">
      <c r="B25" s="488" t="s">
        <v>1200</v>
      </c>
      <c r="C25" s="489">
        <v>94395</v>
      </c>
      <c r="D25" s="486">
        <f>+C25/E12</f>
        <v>2776.3235294117649</v>
      </c>
      <c r="E25" s="240" t="s">
        <v>1201</v>
      </c>
      <c r="F25" s="239">
        <f>D25*E10</f>
        <v>27763.23529411765</v>
      </c>
      <c r="G25" s="239">
        <f>+D25*E11</f>
        <v>8328.9705882352937</v>
      </c>
      <c r="H25" s="239">
        <f>+D25*E7</f>
        <v>24986.911764705885</v>
      </c>
      <c r="I25" s="239">
        <f>+D25*E8</f>
        <v>16657.941176470587</v>
      </c>
      <c r="J25" s="239">
        <f>+D25*E9</f>
        <v>16657.941176470587</v>
      </c>
      <c r="K25" s="259">
        <f>SUM(F25:J25)</f>
        <v>94395</v>
      </c>
    </row>
    <row r="26" spans="2:13" x14ac:dyDescent="0.25">
      <c r="B26" s="238" t="s">
        <v>1062</v>
      </c>
      <c r="C26" s="239">
        <v>10389300</v>
      </c>
      <c r="D26" s="239">
        <f>$C$26/$D$12</f>
        <v>384788.88888888888</v>
      </c>
      <c r="E26" s="240" t="s">
        <v>1063</v>
      </c>
      <c r="F26" s="239">
        <f>$D$26*$D$10</f>
        <v>1923944.4444444445</v>
      </c>
      <c r="G26" s="239">
        <f>$D$26*$D$11</f>
        <v>384788.88888888888</v>
      </c>
      <c r="H26" s="239">
        <f>$D$26*$D$7</f>
        <v>6156622.222222222</v>
      </c>
      <c r="I26" s="239">
        <f>$D$26*$D$8</f>
        <v>1923944.4444444445</v>
      </c>
      <c r="J26" s="239">
        <f>$D$26*$D$93</f>
        <v>0</v>
      </c>
      <c r="K26" s="259">
        <f>SUM($F$26:$J$26)</f>
        <v>10389300</v>
      </c>
    </row>
    <row r="27" spans="2:13" x14ac:dyDescent="0.25">
      <c r="B27" s="238" t="s">
        <v>1064</v>
      </c>
      <c r="C27" s="239">
        <v>2000000</v>
      </c>
      <c r="D27" s="239">
        <f>$C$27/($C$7+$C$8)</f>
        <v>20214.271275520518</v>
      </c>
      <c r="E27" s="240" t="s">
        <v>1060</v>
      </c>
      <c r="F27" s="239">
        <v>0</v>
      </c>
      <c r="G27" s="239">
        <v>0</v>
      </c>
      <c r="H27" s="239">
        <f>$D$27*$C$7</f>
        <v>1528198.9084293509</v>
      </c>
      <c r="I27" s="239">
        <f>$D$27*$C$8</f>
        <v>471801.09157064889</v>
      </c>
      <c r="J27" s="239">
        <v>0</v>
      </c>
      <c r="K27" s="259">
        <f>SUM($F$27:$J$27)</f>
        <v>1999999.9999999998</v>
      </c>
    </row>
    <row r="28" spans="2:13" ht="15.75" thickBot="1" x14ac:dyDescent="0.3">
      <c r="B28" s="244" t="s">
        <v>150</v>
      </c>
      <c r="C28" s="245">
        <f>SUM(C18:C27)</f>
        <v>19991452</v>
      </c>
      <c r="D28" s="246"/>
      <c r="E28" s="247"/>
      <c r="F28" s="245">
        <f>SUM($F$18:$F$27)</f>
        <v>2139242.3339793016</v>
      </c>
      <c r="G28" s="245">
        <f>SUM($G$18:$G$27)</f>
        <v>515861.53556765593</v>
      </c>
      <c r="H28" s="245">
        <f>SUM($H$18:$H$27)</f>
        <v>8921350.2268410027</v>
      </c>
      <c r="I28" s="245">
        <f>SUM($I$18:$I$27)</f>
        <v>6809510.5350231864</v>
      </c>
      <c r="J28" s="245">
        <f>SUM($J$18:$J$27)</f>
        <v>1605487.3685888541</v>
      </c>
      <c r="K28" s="260">
        <f>SUM(K18:K27)</f>
        <v>19991452</v>
      </c>
      <c r="L28" s="194"/>
    </row>
    <row r="29" spans="2:13" x14ac:dyDescent="0.25">
      <c r="B29" s="248" t="s">
        <v>1065</v>
      </c>
      <c r="C29" s="245">
        <f>$F$28</f>
        <v>2139242.3339793016</v>
      </c>
      <c r="D29" s="249">
        <f>$C$29/($C$12-$C$10)</f>
        <v>10638.762353189286</v>
      </c>
      <c r="E29" s="250" t="s">
        <v>1060</v>
      </c>
      <c r="F29" s="249">
        <v>0</v>
      </c>
      <c r="G29" s="249">
        <f>$D$29*$C$11</f>
        <v>378101.61403234722</v>
      </c>
      <c r="H29" s="249">
        <f>$D$29*$C$7</f>
        <v>804290.43390110997</v>
      </c>
      <c r="I29" s="249">
        <f>$D$29*$C$8</f>
        <v>248308.71332343793</v>
      </c>
      <c r="J29" s="249">
        <f>$D$29*$C$9</f>
        <v>708541.57272240636</v>
      </c>
      <c r="K29" s="261">
        <f>SUM($F$29:$J$29)</f>
        <v>2139242.3339793012</v>
      </c>
      <c r="L29" s="188"/>
    </row>
    <row r="30" spans="2:13" x14ac:dyDescent="0.25">
      <c r="B30" s="251" t="s">
        <v>1046</v>
      </c>
      <c r="C30" s="245">
        <f>$G$28+$G$29</f>
        <v>893963.14960000315</v>
      </c>
      <c r="D30" s="252">
        <f>$C$30/($F$12-$F$11)</f>
        <v>5.7635481464101281E-2</v>
      </c>
      <c r="E30" s="253" t="s">
        <v>1058</v>
      </c>
      <c r="F30" s="241">
        <v>0</v>
      </c>
      <c r="G30" s="254">
        <f>$C$30</f>
        <v>893963.14960000315</v>
      </c>
      <c r="H30" s="241">
        <f>$D$30*$F$7</f>
        <v>156812.33014831637</v>
      </c>
      <c r="I30" s="241">
        <f>$D$30*$F$8</f>
        <v>633646.14006438048</v>
      </c>
      <c r="J30" s="241">
        <f>$D$30*$F$9</f>
        <v>103504.67938730629</v>
      </c>
      <c r="K30" s="262">
        <f>SUM($F$30:$J$30)</f>
        <v>1787926.2992000063</v>
      </c>
      <c r="L30" s="188"/>
    </row>
    <row r="31" spans="2:13" ht="15.75" thickBot="1" x14ac:dyDescent="0.3">
      <c r="B31" s="255" t="s">
        <v>150</v>
      </c>
      <c r="C31" s="256"/>
      <c r="D31" s="256"/>
      <c r="E31" s="256"/>
      <c r="F31" s="274">
        <v>0</v>
      </c>
      <c r="G31" s="257">
        <v>0</v>
      </c>
      <c r="H31" s="258">
        <f>$H$28+$H$29+$H$30</f>
        <v>9882452.9908904303</v>
      </c>
      <c r="I31" s="258">
        <f>$I$28+$I$29+$I$30</f>
        <v>7691465.3884110041</v>
      </c>
      <c r="J31" s="258">
        <f>$J$28+$J$29+$J$30</f>
        <v>2417533.620698567</v>
      </c>
      <c r="K31" s="263">
        <f>SUM($H$31+$I$31+$J$31)</f>
        <v>19991452.000000004</v>
      </c>
    </row>
    <row r="45" spans="2:12" ht="15.75" thickBot="1" x14ac:dyDescent="0.3">
      <c r="B45" s="494" t="s">
        <v>115</v>
      </c>
      <c r="C45" s="495" t="s">
        <v>1066</v>
      </c>
      <c r="D45" s="495" t="s">
        <v>1067</v>
      </c>
      <c r="F45" s="494" t="s">
        <v>115</v>
      </c>
      <c r="G45" s="495" t="s">
        <v>1066</v>
      </c>
      <c r="H45" s="495" t="s">
        <v>1068</v>
      </c>
      <c r="J45" s="494" t="s">
        <v>115</v>
      </c>
      <c r="K45" s="495" t="s">
        <v>1066</v>
      </c>
      <c r="L45" s="495" t="s">
        <v>1069</v>
      </c>
    </row>
    <row r="46" spans="2:12" x14ac:dyDescent="0.25">
      <c r="B46" s="496" t="s">
        <v>1052</v>
      </c>
      <c r="C46" s="520" t="s">
        <v>1205</v>
      </c>
      <c r="D46" s="498">
        <v>0</v>
      </c>
      <c r="F46" s="496" t="s">
        <v>1052</v>
      </c>
      <c r="G46" s="497" t="s">
        <v>1204</v>
      </c>
      <c r="H46" s="498">
        <v>0</v>
      </c>
      <c r="J46" s="496" t="s">
        <v>1052</v>
      </c>
      <c r="K46" s="497" t="s">
        <v>1202</v>
      </c>
      <c r="L46" s="517">
        <f>+J18</f>
        <v>500000</v>
      </c>
    </row>
    <row r="47" spans="2:12" x14ac:dyDescent="0.25">
      <c r="B47" s="238" t="s">
        <v>1054</v>
      </c>
      <c r="C47" s="521" t="s">
        <v>1205</v>
      </c>
      <c r="D47" s="499">
        <v>0</v>
      </c>
      <c r="F47" s="238" t="s">
        <v>1054</v>
      </c>
      <c r="G47" s="490" t="s">
        <v>1204</v>
      </c>
      <c r="H47" s="499">
        <v>0</v>
      </c>
      <c r="J47" s="238" t="s">
        <v>1054</v>
      </c>
      <c r="K47" s="490" t="s">
        <v>1203</v>
      </c>
      <c r="L47" s="499">
        <f>+J19</f>
        <v>367000</v>
      </c>
    </row>
    <row r="48" spans="2:12" x14ac:dyDescent="0.25">
      <c r="B48" s="238" t="s">
        <v>1055</v>
      </c>
      <c r="C48" s="521" t="s">
        <v>1203</v>
      </c>
      <c r="D48" s="499">
        <f>+H20</f>
        <v>150000</v>
      </c>
      <c r="F48" s="238" t="s">
        <v>1055</v>
      </c>
      <c r="G48" s="490" t="s">
        <v>1203</v>
      </c>
      <c r="H48" s="499">
        <f>$I$20</f>
        <v>275000</v>
      </c>
      <c r="J48" s="238" t="s">
        <v>1055</v>
      </c>
      <c r="K48" s="490" t="s">
        <v>1203</v>
      </c>
      <c r="L48" s="499">
        <f>+J20</f>
        <v>75000</v>
      </c>
    </row>
    <row r="49" spans="2:12" x14ac:dyDescent="0.25">
      <c r="B49" s="238" t="s">
        <v>1056</v>
      </c>
      <c r="C49" s="521" t="s">
        <v>1205</v>
      </c>
      <c r="D49" s="499">
        <v>0</v>
      </c>
      <c r="F49" s="238" t="s">
        <v>1056</v>
      </c>
      <c r="G49" s="490" t="s">
        <v>1206</v>
      </c>
      <c r="H49" s="499">
        <f>$I$21</f>
        <v>807069</v>
      </c>
      <c r="J49" s="238" t="s">
        <v>1056</v>
      </c>
      <c r="K49" s="490" t="s">
        <v>1204</v>
      </c>
      <c r="L49" s="499">
        <v>0</v>
      </c>
    </row>
    <row r="50" spans="2:12" x14ac:dyDescent="0.25">
      <c r="B50" s="500" t="s">
        <v>1057</v>
      </c>
      <c r="C50" s="522" t="s">
        <v>1207</v>
      </c>
      <c r="D50" s="501">
        <f>$H$22</f>
        <v>631485.077194212</v>
      </c>
      <c r="F50" s="500" t="s">
        <v>1057</v>
      </c>
      <c r="G50" s="492" t="s">
        <v>1070</v>
      </c>
      <c r="H50" s="501">
        <f>$I$22</f>
        <v>2551700.3751803883</v>
      </c>
      <c r="J50" s="500" t="s">
        <v>1057</v>
      </c>
      <c r="K50" s="492" t="s">
        <v>1070</v>
      </c>
      <c r="L50" s="501">
        <f>J22</f>
        <v>416814.54762539949</v>
      </c>
    </row>
    <row r="51" spans="2:12" x14ac:dyDescent="0.25">
      <c r="B51" s="500" t="s">
        <v>1059</v>
      </c>
      <c r="C51" s="523" t="s">
        <v>1071</v>
      </c>
      <c r="D51" s="501">
        <f>$H$23</f>
        <v>261097.9716500901</v>
      </c>
      <c r="F51" s="500" t="s">
        <v>1059</v>
      </c>
      <c r="G51" s="492" t="s">
        <v>1071</v>
      </c>
      <c r="H51" s="501">
        <f>$I$23</f>
        <v>80608.818231654805</v>
      </c>
      <c r="J51" s="500" t="s">
        <v>1059</v>
      </c>
      <c r="K51" s="492" t="s">
        <v>1071</v>
      </c>
      <c r="L51" s="501">
        <f>J23</f>
        <v>230014.87978698412</v>
      </c>
    </row>
    <row r="52" spans="2:12" x14ac:dyDescent="0.25">
      <c r="B52" s="502" t="s">
        <v>1061</v>
      </c>
      <c r="C52" s="523" t="s">
        <v>1070</v>
      </c>
      <c r="D52" s="501">
        <f>$H$24</f>
        <v>168959.13558042108</v>
      </c>
      <c r="F52" s="502" t="s">
        <v>1061</v>
      </c>
      <c r="G52" s="492" t="s">
        <v>1070</v>
      </c>
      <c r="H52" s="501">
        <f>$I$24</f>
        <v>682728.86441957892</v>
      </c>
      <c r="J52" s="502" t="s">
        <v>1061</v>
      </c>
      <c r="K52" s="492" t="s">
        <v>1093</v>
      </c>
      <c r="L52" s="501">
        <f>J24</f>
        <v>0</v>
      </c>
    </row>
    <row r="53" spans="2:12" s="487" customFormat="1" ht="12.75" x14ac:dyDescent="0.2">
      <c r="B53" s="503" t="s">
        <v>1200</v>
      </c>
      <c r="C53" s="524" t="s">
        <v>1070</v>
      </c>
      <c r="D53" s="518">
        <f>$H$25</f>
        <v>24986.911764705885</v>
      </c>
      <c r="F53" s="503" t="s">
        <v>1200</v>
      </c>
      <c r="G53" s="491" t="s">
        <v>1070</v>
      </c>
      <c r="H53" s="504">
        <f>$I$25</f>
        <v>16657.941176470587</v>
      </c>
      <c r="J53" s="503" t="s">
        <v>1200</v>
      </c>
      <c r="K53" s="491" t="s">
        <v>1070</v>
      </c>
      <c r="L53" s="504">
        <v>16657.941176470587</v>
      </c>
    </row>
    <row r="54" spans="2:12" x14ac:dyDescent="0.25">
      <c r="B54" s="500" t="s">
        <v>1062</v>
      </c>
      <c r="C54" s="523" t="s">
        <v>1071</v>
      </c>
      <c r="D54" s="501">
        <f>$H$26</f>
        <v>6156622.222222222</v>
      </c>
      <c r="F54" s="500" t="s">
        <v>1062</v>
      </c>
      <c r="G54" s="492" t="s">
        <v>1071</v>
      </c>
      <c r="H54" s="501">
        <f>$I$26</f>
        <v>1923944.4444444445</v>
      </c>
      <c r="J54" s="500" t="s">
        <v>1062</v>
      </c>
      <c r="K54" s="492" t="s">
        <v>1071</v>
      </c>
      <c r="L54" s="501">
        <f>J26</f>
        <v>0</v>
      </c>
    </row>
    <row r="55" spans="2:12" x14ac:dyDescent="0.25">
      <c r="B55" s="500" t="s">
        <v>1072</v>
      </c>
      <c r="C55" s="525" t="s">
        <v>1071</v>
      </c>
      <c r="D55" s="501">
        <f>$H$27</f>
        <v>1528198.9084293509</v>
      </c>
      <c r="F55" s="500" t="s">
        <v>1072</v>
      </c>
      <c r="G55" s="493" t="s">
        <v>1071</v>
      </c>
      <c r="H55" s="501">
        <f>$I$27</f>
        <v>471801.09157064889</v>
      </c>
      <c r="J55" s="500" t="s">
        <v>1072</v>
      </c>
      <c r="K55" s="516" t="s">
        <v>1093</v>
      </c>
      <c r="L55" s="501">
        <f>J27</f>
        <v>0</v>
      </c>
    </row>
    <row r="56" spans="2:12" x14ac:dyDescent="0.25">
      <c r="B56" s="505" t="s">
        <v>1065</v>
      </c>
      <c r="C56" s="525" t="s">
        <v>1071</v>
      </c>
      <c r="D56" s="501">
        <f>$H$29</f>
        <v>804290.43390110997</v>
      </c>
      <c r="F56" s="505" t="s">
        <v>1065</v>
      </c>
      <c r="G56" s="493" t="s">
        <v>1071</v>
      </c>
      <c r="H56" s="501">
        <f>$I$29</f>
        <v>248308.71332343793</v>
      </c>
      <c r="J56" s="505" t="s">
        <v>1065</v>
      </c>
      <c r="K56" s="516" t="s">
        <v>1071</v>
      </c>
      <c r="L56" s="501">
        <f>J29</f>
        <v>708541.57272240636</v>
      </c>
    </row>
    <row r="57" spans="2:12" x14ac:dyDescent="0.25">
      <c r="B57" s="505" t="s">
        <v>1046</v>
      </c>
      <c r="C57" s="525" t="s">
        <v>1071</v>
      </c>
      <c r="D57" s="501">
        <f>$H$30</f>
        <v>156812.33014831637</v>
      </c>
      <c r="E57" s="194"/>
      <c r="F57" s="505" t="s">
        <v>1046</v>
      </c>
      <c r="G57" s="493" t="s">
        <v>1071</v>
      </c>
      <c r="H57" s="501">
        <f>$I$30</f>
        <v>633646.14006438048</v>
      </c>
      <c r="J57" s="505" t="s">
        <v>1046</v>
      </c>
      <c r="K57" s="516" t="s">
        <v>1071</v>
      </c>
      <c r="L57" s="501">
        <f>J30</f>
        <v>103504.67938730629</v>
      </c>
    </row>
    <row r="58" spans="2:12" x14ac:dyDescent="0.25">
      <c r="B58" s="506" t="s">
        <v>150</v>
      </c>
      <c r="C58" s="523"/>
      <c r="D58" s="507">
        <f>SUM(D50:D57)</f>
        <v>9732452.9908904303</v>
      </c>
      <c r="E58" s="194"/>
      <c r="F58" s="506" t="s">
        <v>150</v>
      </c>
      <c r="G58" s="492"/>
      <c r="H58" s="507">
        <f>SUM(H50:H57)</f>
        <v>6609396.3884110041</v>
      </c>
      <c r="J58" s="506" t="s">
        <v>150</v>
      </c>
      <c r="K58" s="492"/>
      <c r="L58" s="507">
        <f>SUM(L50:L57)</f>
        <v>1475533.620698567</v>
      </c>
    </row>
    <row r="59" spans="2:12" x14ac:dyDescent="0.25">
      <c r="B59" s="508" t="s">
        <v>1073</v>
      </c>
      <c r="C59" s="526"/>
      <c r="D59" s="509">
        <f>$D$57+$D$56+$D$55+$D$54+$D$51</f>
        <v>8907021.8663510904</v>
      </c>
      <c r="E59" s="188"/>
      <c r="F59" s="508" t="s">
        <v>1073</v>
      </c>
      <c r="G59" s="192"/>
      <c r="H59" s="509">
        <f>$H$57+$H$56+$H$55+$H$54+$H$51+H49</f>
        <v>4165378.2076345668</v>
      </c>
      <c r="I59" s="188"/>
      <c r="J59" s="508" t="s">
        <v>1073</v>
      </c>
      <c r="K59" s="192"/>
      <c r="L59" s="509">
        <f>L51+L56+L57+$L$46</f>
        <v>1542061.1318966968</v>
      </c>
    </row>
    <row r="60" spans="2:12" x14ac:dyDescent="0.25">
      <c r="B60" s="510" t="s">
        <v>1074</v>
      </c>
      <c r="C60" s="526"/>
      <c r="D60" s="509">
        <f>$D$50+$D$52+$D$53+$D$48</f>
        <v>975431.12453933898</v>
      </c>
      <c r="E60" s="188"/>
      <c r="F60" s="510" t="s">
        <v>1074</v>
      </c>
      <c r="G60" s="192"/>
      <c r="H60" s="509">
        <f>$H$50+$H$52+$H$53+$H$48</f>
        <v>3526087.1807764377</v>
      </c>
      <c r="I60" s="188"/>
      <c r="J60" s="510" t="s">
        <v>1074</v>
      </c>
      <c r="K60" s="192"/>
      <c r="L60" s="509">
        <f>$L$50+L53+L47+$L$48</f>
        <v>875472.48880187003</v>
      </c>
    </row>
    <row r="61" spans="2:12" x14ac:dyDescent="0.25">
      <c r="B61" s="500"/>
      <c r="C61" s="527" t="s">
        <v>1209</v>
      </c>
      <c r="D61" s="511"/>
      <c r="E61" s="188"/>
      <c r="F61" s="500"/>
      <c r="G61" s="527" t="s">
        <v>1209</v>
      </c>
      <c r="H61" s="511"/>
      <c r="I61" s="188"/>
      <c r="J61" s="500"/>
      <c r="K61" s="527" t="s">
        <v>1209</v>
      </c>
      <c r="L61" s="511"/>
    </row>
    <row r="62" spans="2:12" x14ac:dyDescent="0.25">
      <c r="B62" s="512" t="s">
        <v>1075</v>
      </c>
      <c r="C62" s="529" t="s">
        <v>1208</v>
      </c>
      <c r="D62" s="513">
        <f>$D$59/$F$12</f>
        <v>0.57425241063697341</v>
      </c>
      <c r="E62" s="188"/>
      <c r="F62" s="512" t="s">
        <v>1075</v>
      </c>
      <c r="G62" s="519" t="s">
        <v>1208</v>
      </c>
      <c r="H62" s="513">
        <f>$H$59/F$12</f>
        <v>0.26854974792250952</v>
      </c>
      <c r="I62" s="188"/>
      <c r="J62" s="512" t="s">
        <v>1075</v>
      </c>
      <c r="K62" s="519" t="s">
        <v>1208</v>
      </c>
      <c r="L62" s="513">
        <f>+$L$59/$F$12</f>
        <v>9.9419574312107406E-2</v>
      </c>
    </row>
    <row r="63" spans="2:12" ht="15.75" thickBot="1" x14ac:dyDescent="0.3">
      <c r="B63" s="514" t="s">
        <v>1076</v>
      </c>
      <c r="C63" s="530" t="s">
        <v>1208</v>
      </c>
      <c r="D63" s="531">
        <f>$D$60/$F$12</f>
        <v>6.2887874654620257E-2</v>
      </c>
      <c r="E63" s="188"/>
      <c r="F63" s="514" t="s">
        <v>1076</v>
      </c>
      <c r="G63" s="528" t="s">
        <v>1208</v>
      </c>
      <c r="H63" s="515">
        <f>$H$60/$F$12</f>
        <v>0.22733345601480126</v>
      </c>
      <c r="I63" s="188"/>
      <c r="J63" s="514" t="s">
        <v>1076</v>
      </c>
      <c r="K63" s="528" t="s">
        <v>1208</v>
      </c>
      <c r="L63" s="515">
        <f>$L$60/$F$12</f>
        <v>5.6443353871183571E-2</v>
      </c>
    </row>
    <row r="64" spans="2:12" x14ac:dyDescent="0.25">
      <c r="B64" s="188"/>
      <c r="C64" s="188"/>
      <c r="D64" s="188"/>
      <c r="E64" s="188"/>
      <c r="F64" s="188"/>
      <c r="G64" s="188"/>
      <c r="H64" s="188"/>
      <c r="I64" s="188"/>
      <c r="J64" s="188"/>
      <c r="K64" s="188"/>
    </row>
    <row r="65" spans="2:11" x14ac:dyDescent="0.25">
      <c r="B65" s="188"/>
      <c r="C65" s="188"/>
      <c r="D65" s="188"/>
      <c r="E65" s="188"/>
      <c r="F65" s="188"/>
      <c r="G65" s="188"/>
      <c r="H65" s="188"/>
      <c r="I65" s="188"/>
      <c r="J65" s="188"/>
      <c r="K65" s="188"/>
    </row>
    <row r="66" spans="2:11" x14ac:dyDescent="0.25">
      <c r="B66" s="188"/>
      <c r="C66" s="188"/>
      <c r="D66" s="188"/>
      <c r="E66" s="188"/>
      <c r="F66" s="188"/>
      <c r="G66" s="188"/>
      <c r="H66" s="188"/>
      <c r="I66" s="188"/>
      <c r="J66" s="188"/>
      <c r="K66" s="188"/>
    </row>
    <row r="67" spans="2:11" x14ac:dyDescent="0.25">
      <c r="B67" s="188"/>
      <c r="C67" s="188"/>
      <c r="D67" s="188"/>
      <c r="E67" s="188"/>
      <c r="F67" s="188"/>
      <c r="G67" s="188"/>
      <c r="H67" s="188"/>
      <c r="I67" s="188"/>
      <c r="J67" s="188"/>
      <c r="K67" s="188"/>
    </row>
    <row r="68" spans="2:11" x14ac:dyDescent="0.25">
      <c r="B68" s="188"/>
      <c r="C68" s="188"/>
      <c r="D68" s="188"/>
      <c r="E68" s="188"/>
      <c r="F68" s="188"/>
      <c r="G68" s="188"/>
      <c r="H68" s="188"/>
      <c r="I68" s="188"/>
      <c r="J68" s="188"/>
      <c r="K68" s="188"/>
    </row>
    <row r="69" spans="2:11" x14ac:dyDescent="0.25">
      <c r="B69" s="188"/>
      <c r="C69" s="188"/>
      <c r="D69" s="188"/>
      <c r="E69" s="188"/>
      <c r="F69" s="188"/>
      <c r="G69" s="188"/>
      <c r="H69" s="188"/>
      <c r="I69" s="188"/>
      <c r="J69" s="188"/>
      <c r="K69" s="188"/>
    </row>
  </sheetData>
  <mergeCells count="8">
    <mergeCell ref="H16:J16"/>
    <mergeCell ref="K16:K17"/>
    <mergeCell ref="B5:F5"/>
    <mergeCell ref="B16:B17"/>
    <mergeCell ref="C16:C17"/>
    <mergeCell ref="D16:D17"/>
    <mergeCell ref="E16:E17"/>
    <mergeCell ref="F16:G16"/>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CC"/>
  </sheetPr>
  <dimension ref="A1:AC44"/>
  <sheetViews>
    <sheetView topLeftCell="K11" zoomScaleNormal="100" workbookViewId="0">
      <selection activeCell="L22" sqref="L22"/>
    </sheetView>
  </sheetViews>
  <sheetFormatPr baseColWidth="10" defaultRowHeight="15" x14ac:dyDescent="0.25"/>
  <cols>
    <col min="1" max="3" width="11.42578125" style="180"/>
    <col min="4" max="4" width="12.85546875" style="180" customWidth="1"/>
    <col min="5" max="16384" width="11.42578125" style="180"/>
  </cols>
  <sheetData>
    <row r="1" spans="1:29" ht="15.75" thickBot="1" x14ac:dyDescent="0.3">
      <c r="A1" s="663" t="s">
        <v>1077</v>
      </c>
      <c r="B1" s="664"/>
      <c r="C1" s="664"/>
      <c r="D1" s="664"/>
      <c r="E1" s="664"/>
      <c r="F1" s="664"/>
      <c r="G1" s="664"/>
      <c r="H1" s="664"/>
      <c r="I1" s="664"/>
      <c r="J1" s="664"/>
      <c r="K1" s="664"/>
      <c r="L1" s="664"/>
      <c r="M1" s="664"/>
      <c r="N1" s="664"/>
      <c r="O1" s="664"/>
      <c r="P1" s="664"/>
      <c r="Q1" s="664"/>
      <c r="R1" s="664"/>
      <c r="S1" s="664"/>
      <c r="T1" s="664"/>
      <c r="U1" s="665"/>
    </row>
    <row r="2" spans="1:29" ht="15.75" thickBot="1" x14ac:dyDescent="0.3">
      <c r="A2" s="195"/>
      <c r="B2" s="196"/>
      <c r="C2" s="196"/>
      <c r="D2" s="196"/>
      <c r="E2" s="196"/>
      <c r="F2" s="196"/>
      <c r="G2" s="196"/>
      <c r="H2" s="196"/>
      <c r="I2" s="197"/>
      <c r="J2" s="197"/>
      <c r="K2" s="197"/>
      <c r="L2" s="197"/>
      <c r="M2" s="197"/>
      <c r="N2" s="197"/>
      <c r="O2" s="197"/>
      <c r="P2" s="197"/>
      <c r="Q2" s="197"/>
      <c r="R2" s="197"/>
      <c r="S2" s="197"/>
      <c r="T2" s="197"/>
      <c r="U2" s="198"/>
      <c r="Z2" s="354" t="s">
        <v>1144</v>
      </c>
    </row>
    <row r="3" spans="1:29" ht="15.75" thickBot="1" x14ac:dyDescent="0.3">
      <c r="A3" s="658" t="s">
        <v>1078</v>
      </c>
      <c r="B3" s="659"/>
      <c r="C3" s="660"/>
      <c r="D3" s="661"/>
      <c r="E3" s="661"/>
      <c r="F3" s="662"/>
      <c r="G3" s="199"/>
      <c r="H3" s="199"/>
      <c r="I3" s="188"/>
      <c r="J3" s="188"/>
      <c r="K3" s="658" t="s">
        <v>1079</v>
      </c>
      <c r="L3" s="666"/>
      <c r="M3" s="659"/>
      <c r="N3" s="200" t="s">
        <v>1080</v>
      </c>
      <c r="O3" s="188"/>
      <c r="P3" s="188"/>
      <c r="Q3" s="200" t="s">
        <v>265</v>
      </c>
      <c r="R3" s="660"/>
      <c r="S3" s="662"/>
      <c r="T3" s="188"/>
      <c r="U3" s="201"/>
    </row>
    <row r="4" spans="1:29" ht="15.75" thickBot="1" x14ac:dyDescent="0.3">
      <c r="A4" s="658" t="s">
        <v>1081</v>
      </c>
      <c r="B4" s="659"/>
      <c r="C4" s="660"/>
      <c r="D4" s="661"/>
      <c r="E4" s="661"/>
      <c r="F4" s="662"/>
      <c r="G4" s="199"/>
      <c r="H4" s="199"/>
      <c r="I4" s="188"/>
      <c r="J4" s="188"/>
      <c r="K4" s="188"/>
      <c r="L4" s="188"/>
      <c r="M4" s="188"/>
      <c r="N4" s="188"/>
      <c r="O4" s="188"/>
      <c r="P4" s="188"/>
      <c r="Q4" s="188"/>
      <c r="R4" s="188"/>
      <c r="S4" s="188"/>
      <c r="T4" s="188"/>
      <c r="U4" s="201"/>
      <c r="AB4" s="358"/>
      <c r="AC4" s="358"/>
    </row>
    <row r="5" spans="1:29" ht="15.75" thickBot="1" x14ac:dyDescent="0.3">
      <c r="A5" s="202"/>
      <c r="B5" s="188"/>
      <c r="C5" s="188"/>
      <c r="D5" s="188"/>
      <c r="E5" s="188"/>
      <c r="F5" s="188"/>
      <c r="G5" s="188"/>
      <c r="H5" s="188"/>
      <c r="I5" s="188"/>
      <c r="J5" s="188"/>
      <c r="K5" s="658" t="s">
        <v>1082</v>
      </c>
      <c r="L5" s="659"/>
      <c r="M5" s="667">
        <v>36892</v>
      </c>
      <c r="N5" s="668"/>
      <c r="O5" s="188"/>
      <c r="P5" s="188"/>
      <c r="Q5" s="660" t="s">
        <v>1083</v>
      </c>
      <c r="R5" s="661"/>
      <c r="S5" s="662"/>
      <c r="T5" s="203"/>
      <c r="U5" s="201"/>
      <c r="AB5" s="358"/>
      <c r="AC5" s="358"/>
    </row>
    <row r="6" spans="1:29" ht="15.75" thickBot="1" x14ac:dyDescent="0.3">
      <c r="A6" s="202"/>
      <c r="B6" s="188"/>
      <c r="C6" s="188"/>
      <c r="D6" s="188"/>
      <c r="E6" s="188"/>
      <c r="F6" s="188"/>
      <c r="G6" s="188"/>
      <c r="H6" s="188"/>
      <c r="I6" s="188"/>
      <c r="J6" s="188"/>
      <c r="K6" s="188"/>
      <c r="L6" s="188"/>
      <c r="M6" s="188"/>
      <c r="N6" s="188"/>
      <c r="O6" s="188"/>
      <c r="P6" s="188"/>
      <c r="Q6" s="660" t="s">
        <v>1084</v>
      </c>
      <c r="R6" s="661"/>
      <c r="S6" s="662"/>
      <c r="T6" s="203"/>
      <c r="U6" s="201"/>
      <c r="AB6" s="358"/>
      <c r="AC6" s="358"/>
    </row>
    <row r="7" spans="1:29" x14ac:dyDescent="0.25">
      <c r="A7" s="202"/>
      <c r="B7" s="188"/>
      <c r="C7" s="188"/>
      <c r="D7" s="188"/>
      <c r="E7" s="188"/>
      <c r="F7" s="188"/>
      <c r="G7" s="188"/>
      <c r="H7" s="188"/>
      <c r="I7" s="188"/>
      <c r="J7" s="188"/>
      <c r="K7" s="188"/>
      <c r="L7" s="188"/>
      <c r="M7" s="188"/>
      <c r="N7" s="188"/>
      <c r="O7" s="188"/>
      <c r="P7" s="188"/>
      <c r="Q7" s="188"/>
      <c r="R7" s="188"/>
      <c r="S7" s="188"/>
      <c r="T7" s="188"/>
      <c r="U7" s="201"/>
      <c r="AB7" s="357"/>
      <c r="AC7" s="358"/>
    </row>
    <row r="8" spans="1:29" x14ac:dyDescent="0.25">
      <c r="A8" s="202"/>
      <c r="B8" s="188"/>
      <c r="C8" s="188"/>
      <c r="D8" s="188"/>
      <c r="E8" s="188"/>
      <c r="F8" s="188"/>
      <c r="G8" s="188"/>
      <c r="H8" s="188"/>
      <c r="I8" s="188"/>
      <c r="J8" s="188"/>
      <c r="K8" s="188"/>
      <c r="L8" s="188"/>
      <c r="M8" s="188"/>
      <c r="N8" s="188"/>
      <c r="O8" s="188"/>
      <c r="P8" s="188"/>
      <c r="Q8" s="188"/>
      <c r="R8" s="188"/>
      <c r="S8" s="188"/>
      <c r="T8" s="188"/>
      <c r="U8" s="201"/>
      <c r="AB8" s="359"/>
      <c r="AC8" s="358"/>
    </row>
    <row r="9" spans="1:29" ht="15.75" thickBot="1" x14ac:dyDescent="0.3">
      <c r="A9" s="204"/>
      <c r="B9" s="205"/>
      <c r="C9" s="205"/>
      <c r="D9" s="205"/>
      <c r="E9" s="205"/>
      <c r="F9" s="205"/>
      <c r="G9" s="205"/>
      <c r="H9" s="205"/>
      <c r="I9" s="205"/>
      <c r="J9" s="205"/>
      <c r="K9" s="205"/>
      <c r="L9" s="205"/>
      <c r="M9" s="205"/>
      <c r="N9" s="205"/>
      <c r="O9" s="205"/>
      <c r="P9" s="205"/>
      <c r="Q9" s="205"/>
      <c r="R9" s="205"/>
      <c r="S9" s="205"/>
      <c r="T9" s="205"/>
      <c r="U9" s="206"/>
      <c r="AB9" s="359"/>
      <c r="AC9" s="358"/>
    </row>
    <row r="10" spans="1:29" ht="15.75" thickBot="1" x14ac:dyDescent="0.3">
      <c r="A10" s="202"/>
      <c r="B10" s="207" t="s">
        <v>1042</v>
      </c>
      <c r="C10" s="208"/>
      <c r="D10" s="209"/>
      <c r="E10" s="210"/>
      <c r="F10" s="210"/>
      <c r="G10" s="210"/>
      <c r="H10" s="210"/>
      <c r="I10" s="210"/>
      <c r="J10" s="210"/>
      <c r="K10" s="210"/>
      <c r="L10" s="209"/>
      <c r="M10" s="210"/>
      <c r="N10" s="210"/>
      <c r="O10" s="210"/>
      <c r="P10" s="210"/>
      <c r="Q10" s="209"/>
      <c r="R10" s="210"/>
      <c r="S10" s="210"/>
      <c r="T10" s="210"/>
      <c r="U10" s="211"/>
      <c r="AB10" s="359"/>
      <c r="AC10" s="358"/>
    </row>
    <row r="11" spans="1:29" ht="19.5" customHeight="1" thickBot="1" x14ac:dyDescent="0.3">
      <c r="A11" s="212" t="s">
        <v>1085</v>
      </c>
      <c r="B11" s="207" t="s">
        <v>1044</v>
      </c>
      <c r="C11" s="213"/>
      <c r="D11" s="207" t="s">
        <v>1086</v>
      </c>
      <c r="E11" s="214"/>
      <c r="F11" s="179"/>
      <c r="G11" s="179"/>
      <c r="H11" s="179"/>
      <c r="I11" s="179"/>
      <c r="J11" s="179"/>
      <c r="K11" s="215"/>
      <c r="L11" s="216" t="s">
        <v>219</v>
      </c>
      <c r="M11" s="214"/>
      <c r="N11" s="179"/>
      <c r="O11" s="179"/>
      <c r="P11" s="179"/>
      <c r="Q11" s="217" t="s">
        <v>115</v>
      </c>
      <c r="R11" s="214"/>
      <c r="S11" s="179"/>
      <c r="T11" s="179"/>
      <c r="U11" s="218"/>
      <c r="AB11" s="359"/>
      <c r="AC11" s="358"/>
    </row>
    <row r="12" spans="1:29" ht="15.75" thickBot="1" x14ac:dyDescent="0.3">
      <c r="A12" s="219"/>
      <c r="B12" s="207" t="s">
        <v>1043</v>
      </c>
      <c r="C12" s="214"/>
      <c r="D12" s="210"/>
      <c r="E12" s="179"/>
      <c r="F12" s="179"/>
      <c r="G12" s="179"/>
      <c r="H12" s="179"/>
      <c r="I12" s="179"/>
      <c r="J12" s="179"/>
      <c r="K12" s="179"/>
      <c r="L12" s="210"/>
      <c r="M12" s="179"/>
      <c r="N12" s="179"/>
      <c r="O12" s="179"/>
      <c r="P12" s="179"/>
      <c r="Q12" s="210"/>
      <c r="R12" s="179"/>
      <c r="S12" s="179"/>
      <c r="T12" s="179"/>
      <c r="U12" s="218"/>
      <c r="AB12" s="360"/>
      <c r="AC12" s="356"/>
    </row>
    <row r="13" spans="1:29" x14ac:dyDescent="0.25">
      <c r="A13" s="220"/>
      <c r="B13" s="210"/>
      <c r="C13" s="179"/>
      <c r="D13" s="179"/>
      <c r="E13" s="179"/>
      <c r="F13" s="179"/>
      <c r="G13" s="179"/>
      <c r="H13" s="179"/>
      <c r="I13" s="179"/>
      <c r="J13" s="179"/>
      <c r="K13" s="179"/>
      <c r="L13" s="179"/>
      <c r="M13" s="179"/>
      <c r="N13" s="179"/>
      <c r="O13" s="179"/>
      <c r="P13" s="179"/>
      <c r="Q13" s="179"/>
      <c r="R13" s="179"/>
      <c r="S13" s="179"/>
      <c r="T13" s="179"/>
      <c r="U13" s="218"/>
    </row>
    <row r="14" spans="1:29" x14ac:dyDescent="0.25">
      <c r="A14" s="220"/>
      <c r="B14" s="179"/>
      <c r="C14" s="179"/>
      <c r="D14" s="179"/>
      <c r="E14" s="179"/>
      <c r="F14" s="179"/>
      <c r="G14" s="179"/>
      <c r="H14" s="179"/>
      <c r="I14" s="179"/>
      <c r="J14" s="179"/>
      <c r="K14" s="179"/>
      <c r="L14" s="179"/>
      <c r="M14" s="179"/>
      <c r="N14" s="179"/>
      <c r="O14" s="179"/>
      <c r="P14" s="179"/>
      <c r="Q14" s="179"/>
      <c r="R14" s="179"/>
      <c r="S14" s="179"/>
      <c r="T14" s="179"/>
      <c r="U14" s="218"/>
    </row>
    <row r="15" spans="1:29" x14ac:dyDescent="0.25">
      <c r="A15" s="220"/>
      <c r="B15" s="179"/>
      <c r="C15" s="179"/>
      <c r="D15" s="179"/>
      <c r="E15" s="179"/>
      <c r="F15" s="179"/>
      <c r="G15" s="179"/>
      <c r="H15" s="179"/>
      <c r="I15" s="179"/>
      <c r="J15" s="179"/>
      <c r="K15" s="179"/>
      <c r="L15" s="179"/>
      <c r="M15" s="179"/>
      <c r="N15" s="179"/>
      <c r="O15" s="179"/>
      <c r="P15" s="179"/>
      <c r="Q15" s="179"/>
      <c r="R15" s="179"/>
      <c r="S15" s="179"/>
      <c r="T15" s="179"/>
      <c r="U15" s="218"/>
    </row>
    <row r="16" spans="1:29" ht="15.75" thickBot="1" x14ac:dyDescent="0.3">
      <c r="A16" s="220"/>
      <c r="B16" s="179"/>
      <c r="C16" s="179"/>
      <c r="D16" s="221"/>
      <c r="E16" s="179"/>
      <c r="F16" s="179"/>
      <c r="G16" s="179"/>
      <c r="H16" s="179"/>
      <c r="I16" s="179"/>
      <c r="J16" s="179"/>
      <c r="K16" s="179"/>
      <c r="L16" s="221"/>
      <c r="M16" s="179"/>
      <c r="N16" s="179"/>
      <c r="O16" s="179"/>
      <c r="P16" s="179"/>
      <c r="Q16" s="221"/>
      <c r="R16" s="179"/>
      <c r="S16" s="179"/>
      <c r="T16" s="179"/>
      <c r="U16" s="218"/>
    </row>
    <row r="17" spans="1:21" ht="45" customHeight="1" thickBot="1" x14ac:dyDescent="0.3">
      <c r="A17" s="220"/>
      <c r="B17" s="179"/>
      <c r="C17" s="215"/>
      <c r="D17" s="222" t="s">
        <v>1087</v>
      </c>
      <c r="E17" s="214"/>
      <c r="F17" s="179"/>
      <c r="G17" s="179"/>
      <c r="H17" s="179"/>
      <c r="I17" s="179"/>
      <c r="J17" s="179"/>
      <c r="K17" s="215"/>
      <c r="L17" s="216" t="s">
        <v>1212</v>
      </c>
      <c r="M17" s="214"/>
      <c r="N17" s="179"/>
      <c r="O17" s="179"/>
      <c r="P17" s="215"/>
      <c r="Q17" s="568"/>
      <c r="R17" s="214"/>
      <c r="S17" s="179"/>
      <c r="T17" s="179"/>
      <c r="U17" s="218"/>
    </row>
    <row r="18" spans="1:21" x14ac:dyDescent="0.25">
      <c r="A18" s="220"/>
      <c r="B18" s="179"/>
      <c r="C18" s="179"/>
      <c r="D18" s="210"/>
      <c r="E18" s="179"/>
      <c r="F18" s="179"/>
      <c r="G18" s="179"/>
      <c r="H18" s="179"/>
      <c r="I18" s="179"/>
      <c r="J18" s="179"/>
      <c r="K18" s="179"/>
      <c r="L18" s="210"/>
      <c r="M18" s="179"/>
      <c r="N18" s="179"/>
      <c r="O18" s="179"/>
      <c r="P18" s="179"/>
      <c r="Q18" s="210"/>
      <c r="R18" s="179"/>
      <c r="S18" s="179"/>
      <c r="T18" s="179"/>
      <c r="U18" s="218"/>
    </row>
    <row r="19" spans="1:21" x14ac:dyDescent="0.25">
      <c r="A19" s="220"/>
      <c r="B19" s="179"/>
      <c r="C19" s="179"/>
      <c r="D19" s="179"/>
      <c r="E19" s="179"/>
      <c r="F19" s="179"/>
      <c r="G19" s="179"/>
      <c r="H19" s="179"/>
      <c r="I19" s="179"/>
      <c r="J19" s="179"/>
      <c r="K19" s="179"/>
      <c r="L19" s="179"/>
      <c r="M19" s="179"/>
      <c r="N19" s="179"/>
      <c r="O19" s="179"/>
      <c r="P19" s="179"/>
      <c r="Q19" s="179"/>
      <c r="R19" s="179"/>
      <c r="S19" s="179"/>
      <c r="T19" s="179"/>
      <c r="U19" s="218"/>
    </row>
    <row r="20" spans="1:21" x14ac:dyDescent="0.25">
      <c r="A20" s="220"/>
      <c r="B20" s="179"/>
      <c r="C20" s="179"/>
      <c r="D20" s="179"/>
      <c r="E20" s="179"/>
      <c r="F20" s="179"/>
      <c r="G20" s="179"/>
      <c r="H20" s="179"/>
      <c r="I20" s="179"/>
      <c r="J20" s="179"/>
      <c r="K20" s="179"/>
      <c r="L20" s="179"/>
      <c r="M20" s="179"/>
      <c r="N20" s="179"/>
      <c r="O20" s="179"/>
      <c r="P20" s="179"/>
      <c r="Q20" s="179"/>
      <c r="R20" s="179"/>
      <c r="S20" s="179"/>
      <c r="T20" s="179"/>
      <c r="U20" s="218"/>
    </row>
    <row r="21" spans="1:21" ht="15.75" thickBot="1" x14ac:dyDescent="0.3">
      <c r="A21" s="223"/>
      <c r="B21" s="224"/>
      <c r="C21" s="224"/>
      <c r="D21" s="224"/>
      <c r="E21" s="224"/>
      <c r="F21" s="224"/>
      <c r="G21" s="224"/>
      <c r="H21" s="224"/>
      <c r="I21" s="224"/>
      <c r="J21" s="224"/>
      <c r="K21" s="224"/>
      <c r="L21" s="224"/>
      <c r="M21" s="224"/>
      <c r="N21" s="224"/>
      <c r="O21" s="224"/>
      <c r="P21" s="224"/>
      <c r="Q21" s="224"/>
      <c r="R21" s="224"/>
      <c r="S21" s="224"/>
      <c r="T21" s="224"/>
      <c r="U21" s="225"/>
    </row>
    <row r="36" spans="7:12" ht="15.75" x14ac:dyDescent="0.25">
      <c r="G36" s="669"/>
      <c r="H36" s="669"/>
      <c r="I36" s="669"/>
      <c r="J36" s="669"/>
      <c r="K36" s="358"/>
      <c r="L36" s="358"/>
    </row>
    <row r="37" spans="7:12" x14ac:dyDescent="0.25">
      <c r="G37" s="355"/>
      <c r="H37" s="355"/>
      <c r="I37" s="355"/>
      <c r="J37" s="355"/>
      <c r="K37" s="358"/>
      <c r="L37" s="358"/>
    </row>
    <row r="38" spans="7:12" x14ac:dyDescent="0.25">
      <c r="G38" s="358"/>
      <c r="H38" s="358"/>
    </row>
    <row r="39" spans="7:12" x14ac:dyDescent="0.25">
      <c r="G39" s="357"/>
      <c r="H39" s="358"/>
    </row>
    <row r="40" spans="7:12" x14ac:dyDescent="0.25">
      <c r="G40" s="359"/>
      <c r="H40" s="358"/>
    </row>
    <row r="41" spans="7:12" x14ac:dyDescent="0.25">
      <c r="G41" s="359"/>
      <c r="H41" s="358"/>
    </row>
    <row r="42" spans="7:12" x14ac:dyDescent="0.25">
      <c r="G42" s="359"/>
      <c r="H42" s="358"/>
    </row>
    <row r="43" spans="7:12" x14ac:dyDescent="0.25">
      <c r="G43" s="359"/>
      <c r="H43" s="358"/>
    </row>
    <row r="44" spans="7:12" x14ac:dyDescent="0.25">
      <c r="G44" s="360"/>
      <c r="H44" s="360"/>
      <c r="I44" s="360"/>
      <c r="J44" s="360"/>
      <c r="K44" s="360"/>
      <c r="L44" s="356"/>
    </row>
  </sheetData>
  <mergeCells count="12">
    <mergeCell ref="K5:L5"/>
    <mergeCell ref="M5:N5"/>
    <mergeCell ref="Q5:S5"/>
    <mergeCell ref="Q6:S6"/>
    <mergeCell ref="G36:J36"/>
    <mergeCell ref="A4:B4"/>
    <mergeCell ref="C4:F4"/>
    <mergeCell ref="A1:U1"/>
    <mergeCell ref="A3:B3"/>
    <mergeCell ref="C3:F3"/>
    <mergeCell ref="K3:M3"/>
    <mergeCell ref="R3:S3"/>
  </mergeCells>
  <pageMargins left="0.70866141732283472" right="0.70866141732283472"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44"/>
  <sheetViews>
    <sheetView zoomScaleNormal="100" workbookViewId="0">
      <selection activeCell="H8" sqref="H8"/>
    </sheetView>
  </sheetViews>
  <sheetFormatPr baseColWidth="10" defaultRowHeight="15" x14ac:dyDescent="0.25"/>
  <cols>
    <col min="1" max="3" width="11.42578125" style="180"/>
    <col min="4" max="4" width="12.85546875" style="180" customWidth="1"/>
    <col min="5" max="16384" width="11.42578125" style="180"/>
  </cols>
  <sheetData>
    <row r="1" spans="1:29" ht="15.75" thickBot="1" x14ac:dyDescent="0.3">
      <c r="A1" s="663" t="s">
        <v>1120</v>
      </c>
      <c r="B1" s="664"/>
      <c r="C1" s="664"/>
      <c r="D1" s="664"/>
      <c r="E1" s="664"/>
      <c r="F1" s="664"/>
      <c r="G1" s="664"/>
      <c r="H1" s="664"/>
      <c r="I1" s="664"/>
      <c r="J1" s="664"/>
      <c r="K1" s="664"/>
      <c r="L1" s="664"/>
      <c r="M1" s="664"/>
      <c r="N1" s="664"/>
      <c r="O1" s="664"/>
      <c r="P1" s="664"/>
      <c r="Q1" s="664"/>
      <c r="R1" s="664"/>
      <c r="S1" s="664"/>
      <c r="T1" s="664"/>
      <c r="U1" s="665"/>
    </row>
    <row r="2" spans="1:29" ht="15.75" thickBot="1" x14ac:dyDescent="0.3">
      <c r="A2" s="195"/>
      <c r="B2" s="196"/>
      <c r="C2" s="196"/>
      <c r="D2" s="196"/>
      <c r="E2" s="196"/>
      <c r="F2" s="196"/>
      <c r="G2" s="196"/>
      <c r="H2" s="196"/>
      <c r="I2" s="197"/>
      <c r="J2" s="197"/>
      <c r="K2" s="197"/>
      <c r="L2" s="197"/>
      <c r="M2" s="197"/>
      <c r="N2" s="197"/>
      <c r="O2" s="197"/>
      <c r="P2" s="197"/>
      <c r="Q2" s="197"/>
      <c r="R2" s="197"/>
      <c r="S2" s="197"/>
      <c r="T2" s="197"/>
      <c r="U2" s="198"/>
      <c r="Z2" s="354" t="s">
        <v>1144</v>
      </c>
    </row>
    <row r="3" spans="1:29" ht="15.75" thickBot="1" x14ac:dyDescent="0.3">
      <c r="A3" s="658" t="s">
        <v>1078</v>
      </c>
      <c r="B3" s="659"/>
      <c r="C3" s="660"/>
      <c r="D3" s="661"/>
      <c r="E3" s="661"/>
      <c r="F3" s="662"/>
      <c r="G3" s="199"/>
      <c r="H3" s="199"/>
      <c r="I3" s="188"/>
      <c r="J3" s="188"/>
      <c r="K3" s="658" t="s">
        <v>1079</v>
      </c>
      <c r="L3" s="666"/>
      <c r="M3" s="659"/>
      <c r="N3" s="200" t="s">
        <v>1080</v>
      </c>
      <c r="O3" s="188"/>
      <c r="P3" s="188"/>
      <c r="Q3" s="200" t="s">
        <v>265</v>
      </c>
      <c r="R3" s="660"/>
      <c r="S3" s="662"/>
      <c r="T3" s="188"/>
      <c r="U3" s="201"/>
    </row>
    <row r="4" spans="1:29" ht="15.75" thickBot="1" x14ac:dyDescent="0.3">
      <c r="A4" s="658" t="s">
        <v>1081</v>
      </c>
      <c r="B4" s="659"/>
      <c r="C4" s="660"/>
      <c r="D4" s="661"/>
      <c r="E4" s="661"/>
      <c r="F4" s="662"/>
      <c r="G4" s="199"/>
      <c r="H4" s="199"/>
      <c r="I4" s="188"/>
      <c r="J4" s="188"/>
      <c r="K4" s="188"/>
      <c r="L4" s="188"/>
      <c r="M4" s="188"/>
      <c r="N4" s="188"/>
      <c r="O4" s="188"/>
      <c r="P4" s="188"/>
      <c r="Q4" s="188"/>
      <c r="R4" s="188"/>
      <c r="S4" s="188"/>
      <c r="T4" s="188"/>
      <c r="U4" s="201"/>
      <c r="AB4" s="358"/>
      <c r="AC4" s="358"/>
    </row>
    <row r="5" spans="1:29" ht="15.75" thickBot="1" x14ac:dyDescent="0.3">
      <c r="A5" s="202"/>
      <c r="B5" s="188"/>
      <c r="C5" s="188"/>
      <c r="D5" s="188"/>
      <c r="E5" s="188"/>
      <c r="F5" s="188"/>
      <c r="G5" s="188"/>
      <c r="H5" s="188"/>
      <c r="I5" s="188"/>
      <c r="J5" s="188"/>
      <c r="K5" s="658" t="s">
        <v>1082</v>
      </c>
      <c r="L5" s="659"/>
      <c r="M5" s="667">
        <v>36892</v>
      </c>
      <c r="N5" s="668"/>
      <c r="O5" s="188"/>
      <c r="P5" s="188"/>
      <c r="Q5" s="660" t="s">
        <v>1083</v>
      </c>
      <c r="R5" s="661"/>
      <c r="S5" s="662"/>
      <c r="T5" s="203"/>
      <c r="U5" s="201"/>
      <c r="AB5" s="358"/>
      <c r="AC5" s="358"/>
    </row>
    <row r="6" spans="1:29" ht="15.75" thickBot="1" x14ac:dyDescent="0.3">
      <c r="A6" s="202"/>
      <c r="B6" s="188"/>
      <c r="C6" s="188"/>
      <c r="D6" s="188"/>
      <c r="E6" s="188"/>
      <c r="F6" s="188"/>
      <c r="G6" s="188"/>
      <c r="H6" s="188"/>
      <c r="I6" s="188"/>
      <c r="J6" s="188"/>
      <c r="K6" s="188"/>
      <c r="L6" s="188"/>
      <c r="M6" s="188"/>
      <c r="N6" s="188"/>
      <c r="O6" s="188"/>
      <c r="P6" s="188"/>
      <c r="Q6" s="660" t="s">
        <v>1084</v>
      </c>
      <c r="R6" s="661"/>
      <c r="S6" s="662"/>
      <c r="T6" s="203"/>
      <c r="U6" s="201"/>
      <c r="AB6" s="358"/>
      <c r="AC6" s="358"/>
    </row>
    <row r="7" spans="1:29" x14ac:dyDescent="0.25">
      <c r="A7" s="202"/>
      <c r="B7" s="188"/>
      <c r="C7" s="188"/>
      <c r="D7" s="188"/>
      <c r="E7" s="188"/>
      <c r="F7" s="188"/>
      <c r="G7" s="188"/>
      <c r="H7" s="188"/>
      <c r="I7" s="188"/>
      <c r="J7" s="188"/>
      <c r="K7" s="188"/>
      <c r="L7" s="188"/>
      <c r="M7" s="188"/>
      <c r="N7" s="188"/>
      <c r="O7" s="188"/>
      <c r="P7" s="188"/>
      <c r="Q7" s="188"/>
      <c r="R7" s="188"/>
      <c r="S7" s="188"/>
      <c r="T7" s="188"/>
      <c r="U7" s="201"/>
      <c r="AB7" s="357"/>
      <c r="AC7" s="358"/>
    </row>
    <row r="8" spans="1:29" x14ac:dyDescent="0.25">
      <c r="A8" s="202"/>
      <c r="B8" s="188"/>
      <c r="C8" s="188"/>
      <c r="D8" s="188"/>
      <c r="E8" s="188"/>
      <c r="F8" s="188"/>
      <c r="G8" s="188"/>
      <c r="H8" s="188"/>
      <c r="I8" s="188"/>
      <c r="J8" s="188"/>
      <c r="K8" s="188"/>
      <c r="L8" s="188"/>
      <c r="M8" s="188"/>
      <c r="N8" s="188"/>
      <c r="O8" s="188"/>
      <c r="P8" s="188"/>
      <c r="Q8" s="188"/>
      <c r="R8" s="188"/>
      <c r="S8" s="188"/>
      <c r="T8" s="188"/>
      <c r="U8" s="201"/>
      <c r="AB8" s="359"/>
      <c r="AC8" s="358"/>
    </row>
    <row r="9" spans="1:29" ht="15.75" thickBot="1" x14ac:dyDescent="0.3">
      <c r="A9" s="204"/>
      <c r="B9" s="205"/>
      <c r="C9" s="205"/>
      <c r="D9" s="205"/>
      <c r="E9" s="205"/>
      <c r="F9" s="205"/>
      <c r="G9" s="205"/>
      <c r="H9" s="205"/>
      <c r="I9" s="205"/>
      <c r="J9" s="205"/>
      <c r="K9" s="205"/>
      <c r="L9" s="205"/>
      <c r="M9" s="205"/>
      <c r="N9" s="205"/>
      <c r="O9" s="205"/>
      <c r="P9" s="205"/>
      <c r="Q9" s="205"/>
      <c r="R9" s="205"/>
      <c r="S9" s="205"/>
      <c r="T9" s="205"/>
      <c r="U9" s="206"/>
      <c r="AB9" s="359"/>
      <c r="AC9" s="358"/>
    </row>
    <row r="10" spans="1:29" ht="15.75" thickBot="1" x14ac:dyDescent="0.3">
      <c r="A10" s="202"/>
      <c r="B10" s="207" t="s">
        <v>1042</v>
      </c>
      <c r="C10" s="208"/>
      <c r="D10" s="209"/>
      <c r="E10" s="210"/>
      <c r="F10" s="210"/>
      <c r="G10" s="210"/>
      <c r="H10" s="210"/>
      <c r="I10" s="210"/>
      <c r="J10" s="210"/>
      <c r="K10" s="210"/>
      <c r="L10" s="209"/>
      <c r="M10" s="210"/>
      <c r="N10" s="210"/>
      <c r="O10" s="210"/>
      <c r="P10" s="210"/>
      <c r="Q10" s="209"/>
      <c r="R10" s="210"/>
      <c r="S10" s="210"/>
      <c r="T10" s="210"/>
      <c r="U10" s="211"/>
      <c r="AB10" s="359"/>
      <c r="AC10" s="358"/>
    </row>
    <row r="11" spans="1:29" ht="19.5" customHeight="1" thickBot="1" x14ac:dyDescent="0.3">
      <c r="A11" s="212" t="s">
        <v>1085</v>
      </c>
      <c r="B11" s="207" t="s">
        <v>1044</v>
      </c>
      <c r="C11" s="213"/>
      <c r="D11" s="207" t="s">
        <v>1086</v>
      </c>
      <c r="E11" s="214"/>
      <c r="F11" s="179"/>
      <c r="G11" s="179"/>
      <c r="H11" s="179"/>
      <c r="I11" s="179"/>
      <c r="J11" s="179"/>
      <c r="K11" s="215"/>
      <c r="L11" s="216" t="s">
        <v>219</v>
      </c>
      <c r="M11" s="214"/>
      <c r="N11" s="179"/>
      <c r="O11" s="179"/>
      <c r="P11" s="179"/>
      <c r="Q11" s="217" t="s">
        <v>115</v>
      </c>
      <c r="R11" s="214"/>
      <c r="S11" s="179"/>
      <c r="T11" s="179"/>
      <c r="U11" s="218"/>
      <c r="AB11" s="359"/>
      <c r="AC11" s="358"/>
    </row>
    <row r="12" spans="1:29" ht="15.75" thickBot="1" x14ac:dyDescent="0.3">
      <c r="A12" s="219"/>
      <c r="B12" s="207" t="s">
        <v>1043</v>
      </c>
      <c r="C12" s="214"/>
      <c r="D12" s="210"/>
      <c r="E12" s="179"/>
      <c r="F12" s="179"/>
      <c r="G12" s="179"/>
      <c r="H12" s="179"/>
      <c r="I12" s="179"/>
      <c r="J12" s="179"/>
      <c r="K12" s="179"/>
      <c r="L12" s="210"/>
      <c r="M12" s="179"/>
      <c r="N12" s="179"/>
      <c r="O12" s="179"/>
      <c r="P12" s="179"/>
      <c r="Q12" s="210"/>
      <c r="R12" s="179"/>
      <c r="S12" s="179"/>
      <c r="T12" s="179"/>
      <c r="U12" s="218"/>
      <c r="AB12" s="360"/>
      <c r="AC12" s="356"/>
    </row>
    <row r="13" spans="1:29" x14ac:dyDescent="0.25">
      <c r="A13" s="220"/>
      <c r="B13" s="210"/>
      <c r="C13" s="179"/>
      <c r="D13" s="179"/>
      <c r="E13" s="179"/>
      <c r="F13" s="179"/>
      <c r="G13" s="179"/>
      <c r="H13" s="179"/>
      <c r="I13" s="179"/>
      <c r="J13" s="179"/>
      <c r="K13" s="179"/>
      <c r="L13" s="179"/>
      <c r="M13" s="179"/>
      <c r="N13" s="179"/>
      <c r="O13" s="179"/>
      <c r="P13" s="179"/>
      <c r="Q13" s="179"/>
      <c r="R13" s="179"/>
      <c r="S13" s="179"/>
      <c r="T13" s="179"/>
      <c r="U13" s="218"/>
    </row>
    <row r="14" spans="1:29" x14ac:dyDescent="0.25">
      <c r="A14" s="220"/>
      <c r="B14" s="179"/>
      <c r="C14" s="179"/>
      <c r="D14" s="179"/>
      <c r="E14" s="179"/>
      <c r="F14" s="179"/>
      <c r="G14" s="179"/>
      <c r="H14" s="179"/>
      <c r="I14" s="179"/>
      <c r="J14" s="179"/>
      <c r="K14" s="179"/>
      <c r="L14" s="179"/>
      <c r="M14" s="179"/>
      <c r="N14" s="179"/>
      <c r="O14" s="179"/>
      <c r="P14" s="179"/>
      <c r="Q14" s="179"/>
      <c r="R14" s="179"/>
      <c r="S14" s="179"/>
      <c r="T14" s="179"/>
      <c r="U14" s="218"/>
    </row>
    <row r="15" spans="1:29" x14ac:dyDescent="0.25">
      <c r="A15" s="220"/>
      <c r="B15" s="179"/>
      <c r="C15" s="179"/>
      <c r="D15" s="179"/>
      <c r="E15" s="179"/>
      <c r="F15" s="179"/>
      <c r="G15" s="179"/>
      <c r="H15" s="179"/>
      <c r="I15" s="179"/>
      <c r="J15" s="179"/>
      <c r="K15" s="179"/>
      <c r="L15" s="179"/>
      <c r="M15" s="179"/>
      <c r="N15" s="179"/>
      <c r="O15" s="179"/>
      <c r="P15" s="179"/>
      <c r="Q15" s="179"/>
      <c r="R15" s="179"/>
      <c r="S15" s="179"/>
      <c r="T15" s="179"/>
      <c r="U15" s="218"/>
    </row>
    <row r="16" spans="1:29" ht="15.75" thickBot="1" x14ac:dyDescent="0.3">
      <c r="A16" s="220"/>
      <c r="B16" s="179"/>
      <c r="C16" s="179"/>
      <c r="D16" s="221"/>
      <c r="E16" s="179"/>
      <c r="F16" s="179"/>
      <c r="G16" s="179"/>
      <c r="H16" s="179"/>
      <c r="I16" s="179"/>
      <c r="J16" s="179"/>
      <c r="K16" s="179"/>
      <c r="L16" s="221"/>
      <c r="M16" s="179"/>
      <c r="N16" s="179"/>
      <c r="O16" s="179"/>
      <c r="P16" s="179"/>
      <c r="Q16" s="221"/>
      <c r="R16" s="179"/>
      <c r="S16" s="179"/>
      <c r="T16" s="179"/>
      <c r="U16" s="218"/>
    </row>
    <row r="17" spans="1:21" ht="45" customHeight="1" thickBot="1" x14ac:dyDescent="0.3">
      <c r="A17" s="220"/>
      <c r="B17" s="179"/>
      <c r="C17" s="215"/>
      <c r="D17" s="222" t="s">
        <v>1087</v>
      </c>
      <c r="E17" s="214"/>
      <c r="F17" s="179"/>
      <c r="G17" s="179"/>
      <c r="H17" s="179"/>
      <c r="I17" s="179"/>
      <c r="J17" s="179"/>
      <c r="K17" s="215"/>
      <c r="L17" s="216" t="s">
        <v>1212</v>
      </c>
      <c r="M17" s="214"/>
      <c r="N17" s="179"/>
      <c r="O17" s="179"/>
      <c r="P17" s="215"/>
      <c r="Q17" s="568"/>
      <c r="R17" s="214"/>
      <c r="S17" s="179"/>
      <c r="T17" s="179"/>
      <c r="U17" s="218"/>
    </row>
    <row r="18" spans="1:21" x14ac:dyDescent="0.25">
      <c r="A18" s="220"/>
      <c r="B18" s="179"/>
      <c r="C18" s="179"/>
      <c r="D18" s="210"/>
      <c r="E18" s="179"/>
      <c r="F18" s="179"/>
      <c r="G18" s="179"/>
      <c r="H18" s="179"/>
      <c r="I18" s="179"/>
      <c r="J18" s="179"/>
      <c r="K18" s="179"/>
      <c r="L18" s="210"/>
      <c r="M18" s="179"/>
      <c r="N18" s="179"/>
      <c r="O18" s="179"/>
      <c r="P18" s="179"/>
      <c r="Q18" s="210"/>
      <c r="R18" s="179"/>
      <c r="S18" s="179"/>
      <c r="T18" s="179"/>
      <c r="U18" s="218"/>
    </row>
    <row r="19" spans="1:21" x14ac:dyDescent="0.25">
      <c r="A19" s="220"/>
      <c r="B19" s="179"/>
      <c r="C19" s="179"/>
      <c r="D19" s="179"/>
      <c r="E19" s="179"/>
      <c r="F19" s="179"/>
      <c r="G19" s="179"/>
      <c r="H19" s="179"/>
      <c r="I19" s="179"/>
      <c r="J19" s="179"/>
      <c r="K19" s="179"/>
      <c r="L19" s="179"/>
      <c r="M19" s="179"/>
      <c r="N19" s="179"/>
      <c r="O19" s="179"/>
      <c r="P19" s="179"/>
      <c r="Q19" s="179"/>
      <c r="R19" s="179"/>
      <c r="S19" s="179"/>
      <c r="T19" s="179"/>
      <c r="U19" s="218"/>
    </row>
    <row r="20" spans="1:21" x14ac:dyDescent="0.25">
      <c r="A20" s="220"/>
      <c r="B20" s="179"/>
      <c r="C20" s="179"/>
      <c r="D20" s="179"/>
      <c r="E20" s="179"/>
      <c r="F20" s="179"/>
      <c r="G20" s="179"/>
      <c r="H20" s="179"/>
      <c r="I20" s="179"/>
      <c r="J20" s="179"/>
      <c r="K20" s="179"/>
      <c r="L20" s="179"/>
      <c r="M20" s="179"/>
      <c r="N20" s="179"/>
      <c r="O20" s="179"/>
      <c r="P20" s="179"/>
      <c r="Q20" s="179"/>
      <c r="R20" s="179"/>
      <c r="S20" s="179"/>
      <c r="T20" s="179"/>
      <c r="U20" s="218"/>
    </row>
    <row r="21" spans="1:21" ht="15.75" thickBot="1" x14ac:dyDescent="0.3">
      <c r="A21" s="223"/>
      <c r="B21" s="224"/>
      <c r="C21" s="224"/>
      <c r="D21" s="224"/>
      <c r="E21" s="224"/>
      <c r="F21" s="224"/>
      <c r="G21" s="224"/>
      <c r="H21" s="224"/>
      <c r="I21" s="224"/>
      <c r="J21" s="224"/>
      <c r="K21" s="224"/>
      <c r="L21" s="224"/>
      <c r="M21" s="224"/>
      <c r="N21" s="224"/>
      <c r="O21" s="224"/>
      <c r="P21" s="224"/>
      <c r="Q21" s="224"/>
      <c r="R21" s="224"/>
      <c r="S21" s="224"/>
      <c r="T21" s="224"/>
      <c r="U21" s="225"/>
    </row>
    <row r="36" spans="7:12" ht="15.75" x14ac:dyDescent="0.25">
      <c r="G36" s="669"/>
      <c r="H36" s="669"/>
      <c r="I36" s="669"/>
      <c r="J36" s="669"/>
      <c r="K36" s="358"/>
      <c r="L36" s="358"/>
    </row>
    <row r="37" spans="7:12" x14ac:dyDescent="0.25">
      <c r="G37" s="355"/>
      <c r="H37" s="355"/>
      <c r="I37" s="355"/>
      <c r="J37" s="355"/>
      <c r="K37" s="358"/>
      <c r="L37" s="358"/>
    </row>
    <row r="38" spans="7:12" x14ac:dyDescent="0.25">
      <c r="G38" s="358"/>
      <c r="H38" s="358"/>
    </row>
    <row r="39" spans="7:12" x14ac:dyDescent="0.25">
      <c r="G39" s="357"/>
      <c r="H39" s="358"/>
    </row>
    <row r="40" spans="7:12" x14ac:dyDescent="0.25">
      <c r="G40" s="359"/>
      <c r="H40" s="358"/>
    </row>
    <row r="41" spans="7:12" x14ac:dyDescent="0.25">
      <c r="G41" s="359"/>
      <c r="H41" s="358"/>
    </row>
    <row r="42" spans="7:12" x14ac:dyDescent="0.25">
      <c r="G42" s="359"/>
      <c r="H42" s="358"/>
    </row>
    <row r="43" spans="7:12" x14ac:dyDescent="0.25">
      <c r="G43" s="359"/>
      <c r="H43" s="358"/>
    </row>
    <row r="44" spans="7:12" x14ac:dyDescent="0.25">
      <c r="G44" s="360"/>
      <c r="H44" s="360"/>
      <c r="I44" s="360"/>
      <c r="J44" s="360"/>
      <c r="K44" s="360"/>
      <c r="L44" s="356"/>
    </row>
  </sheetData>
  <mergeCells count="12">
    <mergeCell ref="A4:B4"/>
    <mergeCell ref="C4:F4"/>
    <mergeCell ref="A1:U1"/>
    <mergeCell ref="A3:B3"/>
    <mergeCell ref="C3:F3"/>
    <mergeCell ref="K3:M3"/>
    <mergeCell ref="R3:S3"/>
    <mergeCell ref="K5:L5"/>
    <mergeCell ref="M5:N5"/>
    <mergeCell ref="Q5:S5"/>
    <mergeCell ref="Q6:S6"/>
    <mergeCell ref="G36:J36"/>
  </mergeCells>
  <pageMargins left="0.70866141732283472" right="0.70866141732283472" top="0.74803149606299213" bottom="0.7480314960629921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71973"/>
  </sheetPr>
  <dimension ref="A1:AC35"/>
  <sheetViews>
    <sheetView tabSelected="1" topLeftCell="E7" zoomScale="85" zoomScaleNormal="85" workbookViewId="0">
      <selection activeCell="AB32" sqref="AB32"/>
    </sheetView>
  </sheetViews>
  <sheetFormatPr baseColWidth="10" defaultRowHeight="15" x14ac:dyDescent="0.25"/>
  <cols>
    <col min="1" max="1" width="11.5703125" style="284" customWidth="1"/>
    <col min="2" max="2" width="26.85546875" style="282" customWidth="1"/>
    <col min="3" max="3" width="10.5703125" style="282" bestFit="1" customWidth="1"/>
    <col min="4" max="4" width="10" style="282" bestFit="1" customWidth="1"/>
    <col min="5" max="5" width="14.28515625" style="282" bestFit="1" customWidth="1"/>
    <col min="6" max="6" width="14.7109375" style="282" customWidth="1"/>
    <col min="7" max="7" width="16.42578125" style="282" customWidth="1"/>
    <col min="8" max="8" width="15.5703125" style="282" customWidth="1"/>
    <col min="9" max="9" width="11.85546875" style="282" customWidth="1"/>
    <col min="10" max="10" width="12" style="282" customWidth="1"/>
    <col min="11" max="11" width="13" style="282" customWidth="1"/>
    <col min="12" max="12" width="14.5703125" style="282" bestFit="1" customWidth="1"/>
    <col min="13" max="13" width="14.42578125" style="282" customWidth="1"/>
    <col min="14" max="16" width="11.42578125" style="282"/>
    <col min="17" max="17" width="13.42578125" style="282" customWidth="1"/>
    <col min="18" max="18" width="20.42578125" style="282" customWidth="1"/>
    <col min="19" max="19" width="19.140625" style="282" customWidth="1"/>
    <col min="20" max="20" width="11.42578125" style="282"/>
    <col min="21" max="21" width="13.5703125" style="282" customWidth="1"/>
    <col min="22" max="22" width="15.7109375" style="282" bestFit="1" customWidth="1"/>
    <col min="23" max="23" width="18.5703125" style="282" customWidth="1"/>
    <col min="24" max="27" width="11.42578125" style="282"/>
    <col min="28" max="28" width="14.5703125" style="282" bestFit="1" customWidth="1"/>
    <col min="29" max="29" width="14.7109375" style="282" customWidth="1"/>
    <col min="30" max="16384" width="11.42578125" style="282"/>
  </cols>
  <sheetData>
    <row r="1" spans="1:29" ht="15.75" thickBot="1" x14ac:dyDescent="0.3">
      <c r="A1" s="672" t="s">
        <v>1096</v>
      </c>
      <c r="B1" s="673"/>
      <c r="C1" s="673"/>
      <c r="D1" s="673"/>
      <c r="E1" s="673"/>
      <c r="F1" s="673"/>
      <c r="G1" s="673"/>
      <c r="H1" s="673"/>
      <c r="I1" s="673"/>
      <c r="J1" s="673"/>
      <c r="K1" s="673"/>
      <c r="L1" s="673"/>
      <c r="M1" s="674"/>
      <c r="Q1" s="672" t="s">
        <v>1096</v>
      </c>
      <c r="R1" s="673"/>
      <c r="S1" s="673"/>
      <c r="T1" s="673"/>
      <c r="U1" s="673"/>
      <c r="V1" s="673"/>
      <c r="W1" s="673"/>
      <c r="X1" s="673"/>
      <c r="Y1" s="673"/>
      <c r="Z1" s="673"/>
      <c r="AA1" s="673"/>
      <c r="AB1" s="673"/>
      <c r="AC1" s="674"/>
    </row>
    <row r="2" spans="1:29" ht="16.5" thickBot="1" x14ac:dyDescent="0.3">
      <c r="A2" s="684" t="s">
        <v>1120</v>
      </c>
      <c r="B2" s="680"/>
      <c r="C2" s="680"/>
      <c r="D2" s="680"/>
      <c r="E2" s="680"/>
      <c r="F2" s="680"/>
      <c r="G2" s="680"/>
      <c r="H2" s="680"/>
      <c r="I2" s="680"/>
      <c r="J2" s="680"/>
      <c r="K2" s="680"/>
      <c r="L2" s="680"/>
      <c r="M2" s="681"/>
      <c r="Q2" s="679" t="s">
        <v>1145</v>
      </c>
      <c r="R2" s="680"/>
      <c r="S2" s="680"/>
      <c r="T2" s="680"/>
      <c r="U2" s="680"/>
      <c r="V2" s="680"/>
      <c r="W2" s="680"/>
      <c r="X2" s="680"/>
      <c r="Y2" s="680"/>
      <c r="Z2" s="680"/>
      <c r="AA2" s="680"/>
      <c r="AB2" s="680"/>
      <c r="AC2" s="681"/>
    </row>
    <row r="3" spans="1:29" ht="15.75" thickBot="1" x14ac:dyDescent="0.3">
      <c r="A3" s="295"/>
      <c r="B3" s="296"/>
      <c r="C3" s="296"/>
      <c r="D3" s="296"/>
      <c r="E3" s="296"/>
      <c r="F3" s="296"/>
      <c r="G3" s="296"/>
      <c r="H3" s="296"/>
      <c r="I3" s="296"/>
      <c r="J3" s="296"/>
      <c r="K3" s="296"/>
      <c r="L3" s="296"/>
      <c r="M3" s="297"/>
      <c r="Q3" s="295"/>
      <c r="R3" s="296"/>
      <c r="S3" s="296"/>
      <c r="T3" s="296"/>
      <c r="U3" s="296"/>
      <c r="V3" s="296"/>
      <c r="W3" s="296"/>
      <c r="X3" s="296"/>
      <c r="Y3" s="296"/>
      <c r="Z3" s="296"/>
      <c r="AA3" s="296"/>
      <c r="AB3" s="296"/>
      <c r="AC3" s="297"/>
    </row>
    <row r="4" spans="1:29" ht="15.75" thickBot="1" x14ac:dyDescent="0.3">
      <c r="A4" s="298" t="s">
        <v>1118</v>
      </c>
      <c r="B4" s="684"/>
      <c r="C4" s="680"/>
      <c r="D4" s="680"/>
      <c r="E4" s="680"/>
      <c r="F4" s="680"/>
      <c r="G4" s="681"/>
      <c r="H4" s="296"/>
      <c r="I4" s="296"/>
      <c r="J4" s="296"/>
      <c r="K4" s="296"/>
      <c r="L4" s="296"/>
      <c r="M4" s="297"/>
      <c r="Q4" s="298" t="s">
        <v>1118</v>
      </c>
      <c r="R4" s="292"/>
      <c r="S4" s="293"/>
      <c r="T4" s="293"/>
      <c r="U4" s="293"/>
      <c r="V4" s="293"/>
      <c r="W4" s="294"/>
      <c r="X4" s="296"/>
      <c r="Y4" s="296"/>
      <c r="Z4" s="296"/>
      <c r="AA4" s="296"/>
      <c r="AB4" s="296"/>
      <c r="AC4" s="297"/>
    </row>
    <row r="5" spans="1:29" ht="15.75" thickBot="1" x14ac:dyDescent="0.3">
      <c r="A5" s="298" t="s">
        <v>1119</v>
      </c>
      <c r="B5" s="684"/>
      <c r="C5" s="681"/>
      <c r="D5" s="296"/>
      <c r="E5" s="296"/>
      <c r="F5" s="296"/>
      <c r="G5" s="296"/>
      <c r="H5" s="296"/>
      <c r="I5" s="296"/>
      <c r="J5" s="296"/>
      <c r="K5" s="296"/>
      <c r="L5" s="296"/>
      <c r="M5" s="297"/>
      <c r="Q5" s="298" t="s">
        <v>1119</v>
      </c>
      <c r="R5" s="292"/>
      <c r="S5" s="294"/>
      <c r="T5" s="296"/>
      <c r="U5" s="296"/>
      <c r="V5" s="296"/>
      <c r="W5" s="296"/>
      <c r="X5" s="296"/>
      <c r="Y5" s="296"/>
      <c r="Z5" s="296"/>
      <c r="AA5" s="296"/>
      <c r="AB5" s="296"/>
      <c r="AC5" s="297"/>
    </row>
    <row r="6" spans="1:29" x14ac:dyDescent="0.25">
      <c r="A6" s="295"/>
      <c r="B6" s="296"/>
      <c r="C6" s="296"/>
      <c r="D6" s="296"/>
      <c r="E6" s="296"/>
      <c r="F6" s="296"/>
      <c r="G6" s="296"/>
      <c r="H6" s="296"/>
      <c r="I6" s="296"/>
      <c r="J6" s="296"/>
      <c r="K6" s="296"/>
      <c r="L6" s="296"/>
      <c r="M6" s="297"/>
      <c r="Q6" s="295"/>
      <c r="R6" s="296"/>
      <c r="S6" s="296"/>
      <c r="T6" s="296"/>
      <c r="U6" s="296"/>
      <c r="V6" s="296"/>
      <c r="W6" s="296"/>
      <c r="X6" s="296"/>
      <c r="Y6" s="296"/>
      <c r="Z6" s="296"/>
      <c r="AA6" s="296"/>
      <c r="AB6" s="296"/>
      <c r="AC6" s="297"/>
    </row>
    <row r="7" spans="1:29" ht="15.75" thickBot="1" x14ac:dyDescent="0.3">
      <c r="A7" s="299"/>
      <c r="B7" s="300"/>
      <c r="C7" s="300"/>
      <c r="D7" s="300"/>
      <c r="E7" s="300"/>
      <c r="F7" s="300"/>
      <c r="G7" s="300"/>
      <c r="H7" s="300"/>
      <c r="I7" s="300"/>
      <c r="J7" s="300"/>
      <c r="K7" s="300"/>
      <c r="L7" s="300"/>
      <c r="M7" s="301"/>
      <c r="Q7" s="299"/>
      <c r="R7" s="300"/>
      <c r="S7" s="300"/>
      <c r="T7" s="300"/>
      <c r="U7" s="300"/>
      <c r="V7" s="300"/>
      <c r="W7" s="300"/>
      <c r="X7" s="300"/>
      <c r="Y7" s="300"/>
      <c r="Z7" s="300"/>
      <c r="AA7" s="300"/>
      <c r="AB7" s="300"/>
      <c r="AC7" s="301"/>
    </row>
    <row r="8" spans="1:29" ht="15.75" thickBot="1" x14ac:dyDescent="0.3">
      <c r="A8" s="685" t="s">
        <v>1097</v>
      </c>
      <c r="B8" s="686"/>
      <c r="C8" s="682" t="s">
        <v>1211</v>
      </c>
      <c r="D8" s="687"/>
      <c r="E8" s="687"/>
      <c r="F8" s="687"/>
      <c r="G8" s="683"/>
      <c r="H8" s="300"/>
      <c r="I8" s="682" t="s">
        <v>1098</v>
      </c>
      <c r="J8" s="683"/>
      <c r="K8" s="307">
        <f>+AA8</f>
        <v>1</v>
      </c>
      <c r="L8" s="300"/>
      <c r="M8" s="301"/>
      <c r="Q8" s="302" t="s">
        <v>1097</v>
      </c>
      <c r="R8" s="303"/>
      <c r="S8" s="304" t="s">
        <v>1114</v>
      </c>
      <c r="T8" s="305"/>
      <c r="U8" s="305"/>
      <c r="V8" s="305"/>
      <c r="W8" s="306"/>
      <c r="X8" s="300"/>
      <c r="Y8" s="304" t="s">
        <v>1098</v>
      </c>
      <c r="Z8" s="306"/>
      <c r="AA8" s="307">
        <v>1</v>
      </c>
      <c r="AB8" s="300"/>
      <c r="AC8" s="301"/>
    </row>
    <row r="9" spans="1:29" ht="15.75" thickBot="1" x14ac:dyDescent="0.3">
      <c r="A9" s="299"/>
      <c r="B9" s="300"/>
      <c r="C9" s="300"/>
      <c r="D9" s="300"/>
      <c r="E9" s="300"/>
      <c r="F9" s="300"/>
      <c r="G9" s="300"/>
      <c r="H9" s="300"/>
      <c r="I9" s="300"/>
      <c r="J9" s="300"/>
      <c r="K9" s="300"/>
      <c r="L9" s="300"/>
      <c r="M9" s="301"/>
      <c r="Q9" s="299"/>
      <c r="R9" s="300"/>
      <c r="S9" s="300"/>
      <c r="T9" s="300"/>
      <c r="U9" s="300"/>
      <c r="V9" s="300"/>
      <c r="W9" s="300"/>
      <c r="X9" s="300"/>
      <c r="Y9" s="300"/>
      <c r="Z9" s="300"/>
      <c r="AA9" s="300"/>
      <c r="AB9" s="300"/>
      <c r="AC9" s="301"/>
    </row>
    <row r="10" spans="1:29" ht="15.75" thickBot="1" x14ac:dyDescent="0.3">
      <c r="A10" s="308" t="s">
        <v>1099</v>
      </c>
      <c r="B10" s="688"/>
      <c r="C10" s="689"/>
      <c r="D10" s="689"/>
      <c r="E10" s="689"/>
      <c r="F10" s="690"/>
      <c r="G10" s="312" t="s">
        <v>1100</v>
      </c>
      <c r="H10" s="688"/>
      <c r="I10" s="689"/>
      <c r="J10" s="689"/>
      <c r="K10" s="689"/>
      <c r="L10" s="689"/>
      <c r="M10" s="690"/>
      <c r="Q10" s="308" t="s">
        <v>1099</v>
      </c>
      <c r="R10" s="309"/>
      <c r="S10" s="310"/>
      <c r="T10" s="310"/>
      <c r="U10" s="310"/>
      <c r="V10" s="311"/>
      <c r="W10" s="312" t="s">
        <v>1100</v>
      </c>
      <c r="X10" s="309"/>
      <c r="Y10" s="310"/>
      <c r="Z10" s="310"/>
      <c r="AA10" s="310"/>
      <c r="AB10" s="310"/>
      <c r="AC10" s="311"/>
    </row>
    <row r="11" spans="1:29" x14ac:dyDescent="0.25">
      <c r="A11" s="299"/>
      <c r="B11" s="300"/>
      <c r="C11" s="300"/>
      <c r="D11" s="300"/>
      <c r="E11" s="300"/>
      <c r="F11" s="300"/>
      <c r="G11" s="300"/>
      <c r="H11" s="300"/>
      <c r="I11" s="300"/>
      <c r="J11" s="300"/>
      <c r="K11" s="300"/>
      <c r="L11" s="300"/>
      <c r="M11" s="301"/>
      <c r="Q11" s="299"/>
      <c r="R11" s="300"/>
      <c r="S11" s="300"/>
      <c r="T11" s="300"/>
      <c r="U11" s="300"/>
      <c r="V11" s="300"/>
      <c r="W11" s="300"/>
      <c r="X11" s="300"/>
      <c r="Y11" s="300"/>
      <c r="Z11" s="300"/>
      <c r="AA11" s="300"/>
      <c r="AB11" s="300"/>
      <c r="AC11" s="301"/>
    </row>
    <row r="12" spans="1:29" x14ac:dyDescent="0.25">
      <c r="A12" s="691" t="s">
        <v>1086</v>
      </c>
      <c r="B12" s="692"/>
      <c r="C12" s="692"/>
      <c r="D12" s="692"/>
      <c r="E12" s="692"/>
      <c r="F12" s="692"/>
      <c r="G12" s="693" t="s">
        <v>95</v>
      </c>
      <c r="H12" s="694"/>
      <c r="I12" s="694"/>
      <c r="J12" s="694"/>
      <c r="K12" s="695" t="s">
        <v>114</v>
      </c>
      <c r="L12" s="695"/>
      <c r="M12" s="696"/>
      <c r="Q12" s="341" t="s">
        <v>1086</v>
      </c>
      <c r="R12" s="342"/>
      <c r="S12" s="342"/>
      <c r="T12" s="342"/>
      <c r="U12" s="342"/>
      <c r="V12" s="342"/>
      <c r="W12" s="343" t="s">
        <v>95</v>
      </c>
      <c r="X12" s="344"/>
      <c r="Y12" s="344"/>
      <c r="Z12" s="344"/>
      <c r="AA12" s="345" t="s">
        <v>114</v>
      </c>
      <c r="AB12" s="345"/>
      <c r="AC12" s="346"/>
    </row>
    <row r="13" spans="1:29" s="283" customFormat="1" ht="33.75" customHeight="1" x14ac:dyDescent="0.25">
      <c r="A13" s="338" t="s">
        <v>284</v>
      </c>
      <c r="B13" s="339" t="s">
        <v>1086</v>
      </c>
      <c r="C13" s="339" t="s">
        <v>1116</v>
      </c>
      <c r="D13" s="339" t="s">
        <v>1115</v>
      </c>
      <c r="E13" s="339" t="s">
        <v>1101</v>
      </c>
      <c r="F13" s="339" t="s">
        <v>286</v>
      </c>
      <c r="G13" s="339" t="s">
        <v>1102</v>
      </c>
      <c r="H13" s="339" t="s">
        <v>1117</v>
      </c>
      <c r="I13" s="339" t="s">
        <v>116</v>
      </c>
      <c r="J13" s="339" t="s">
        <v>286</v>
      </c>
      <c r="K13" s="339" t="s">
        <v>1103</v>
      </c>
      <c r="L13" s="339" t="s">
        <v>1104</v>
      </c>
      <c r="M13" s="340" t="s">
        <v>150</v>
      </c>
      <c r="Q13" s="338" t="s">
        <v>284</v>
      </c>
      <c r="R13" s="339" t="s">
        <v>1086</v>
      </c>
      <c r="S13" s="339" t="s">
        <v>1116</v>
      </c>
      <c r="T13" s="339" t="s">
        <v>1115</v>
      </c>
      <c r="U13" s="339" t="s">
        <v>1101</v>
      </c>
      <c r="V13" s="339" t="s">
        <v>286</v>
      </c>
      <c r="W13" s="339" t="s">
        <v>1102</v>
      </c>
      <c r="X13" s="339" t="s">
        <v>1117</v>
      </c>
      <c r="Y13" s="339" t="s">
        <v>116</v>
      </c>
      <c r="Z13" s="339" t="s">
        <v>286</v>
      </c>
      <c r="AA13" s="339" t="s">
        <v>1198</v>
      </c>
      <c r="AB13" s="339" t="s">
        <v>1104</v>
      </c>
      <c r="AC13" s="340" t="s">
        <v>150</v>
      </c>
    </row>
    <row r="14" spans="1:29" x14ac:dyDescent="0.25">
      <c r="A14" s="313">
        <f>+'SISTEMAS DE ALUMINIO'!A3</f>
        <v>4001</v>
      </c>
      <c r="B14" s="314" t="str">
        <f>+'SISTEMAS DE ALUMINIO'!B3</f>
        <v>144 CABEZAL</v>
      </c>
      <c r="C14" s="315">
        <f t="shared" ref="C14:C25" si="0">+D14*$K$8</f>
        <v>1</v>
      </c>
      <c r="D14" s="315">
        <v>1</v>
      </c>
      <c r="E14" s="315">
        <f>+'SISTEMAS DE ALUMINIO'!C3</f>
        <v>4166.666666666667</v>
      </c>
      <c r="F14" s="315">
        <f>+E14*C14</f>
        <v>4166.666666666667</v>
      </c>
      <c r="G14" s="315">
        <v>1</v>
      </c>
      <c r="H14" s="315">
        <v>0.58299999999999996</v>
      </c>
      <c r="I14" s="315">
        <f>+MOD_ALUMINIO_!P23</f>
        <v>7489.779293851162</v>
      </c>
      <c r="J14" s="315">
        <f>+I14*G14</f>
        <v>7489.779293851162</v>
      </c>
      <c r="K14" s="315">
        <f>'COSTOS INDIRECTOS DE FABRICACIO'!$D$62+'COSTOS INDIRECTOS DE FABRICACIO'!$D$63</f>
        <v>0.63714028529159372</v>
      </c>
      <c r="L14" s="315">
        <f>+F26+J26</f>
        <v>64296.445960517834</v>
      </c>
      <c r="M14" s="316">
        <f>+K14*L14</f>
        <v>40965.85592251987</v>
      </c>
      <c r="Q14" s="313">
        <f>+A14</f>
        <v>4001</v>
      </c>
      <c r="R14" s="314" t="str">
        <f>+B14</f>
        <v>144 CABEZAL</v>
      </c>
      <c r="S14" s="315">
        <f t="shared" ref="S14:S25" si="1">+T14*$K$8</f>
        <v>1</v>
      </c>
      <c r="T14" s="315">
        <v>1</v>
      </c>
      <c r="U14" s="315">
        <f>+E14:E24</f>
        <v>4166.666666666667</v>
      </c>
      <c r="V14" s="315">
        <f>+U14*S14</f>
        <v>4166.666666666667</v>
      </c>
      <c r="W14" s="315">
        <v>0.57999999999999996</v>
      </c>
      <c r="X14" s="315">
        <v>0.58299999999999996</v>
      </c>
      <c r="Y14" s="315">
        <f>+I14</f>
        <v>7489.779293851162</v>
      </c>
      <c r="Z14" s="315">
        <f>+Y14*W14</f>
        <v>4344.0719904336738</v>
      </c>
      <c r="AA14" s="315">
        <f>'COSTOS INDIRECTOS DE FABRICACIO'!$D$62+'COSTOS INDIRECTOS DE FABRICACIO'!$D$63</f>
        <v>0.63714028529159372</v>
      </c>
      <c r="AB14" s="315">
        <f>+S26+Y26</f>
        <v>61150.738657100344</v>
      </c>
      <c r="AC14" s="316">
        <f>+AB14*AA14</f>
        <v>38961.599073776604</v>
      </c>
    </row>
    <row r="15" spans="1:29" x14ac:dyDescent="0.25">
      <c r="A15" s="313">
        <f>+'SISTEMAS DE ALUMINIO'!A4</f>
        <v>4002</v>
      </c>
      <c r="B15" s="314" t="str">
        <f>+'SISTEMAS DE ALUMINIO'!B4</f>
        <v>194 SILLAR</v>
      </c>
      <c r="C15" s="315">
        <f t="shared" si="0"/>
        <v>1</v>
      </c>
      <c r="D15" s="315">
        <v>1</v>
      </c>
      <c r="E15" s="315">
        <f>+'SISTEMAS DE ALUMINIO'!C4</f>
        <v>4333.333333333333</v>
      </c>
      <c r="F15" s="315">
        <f t="shared" ref="F15:F21" si="2">+E15*C15</f>
        <v>4333.333333333333</v>
      </c>
      <c r="G15" s="315"/>
      <c r="H15" s="315"/>
      <c r="I15" s="315"/>
      <c r="J15" s="315"/>
      <c r="K15" s="315"/>
      <c r="L15" s="315"/>
      <c r="M15" s="316"/>
      <c r="Q15" s="313">
        <f t="shared" ref="Q15:Q24" si="3">+A15</f>
        <v>4002</v>
      </c>
      <c r="R15" s="314" t="str">
        <f t="shared" ref="R15:R24" si="4">+B15</f>
        <v>194 SILLAR</v>
      </c>
      <c r="S15" s="315">
        <f t="shared" si="1"/>
        <v>1</v>
      </c>
      <c r="T15" s="315">
        <v>1</v>
      </c>
      <c r="U15" s="315">
        <f t="shared" ref="U15:U24" si="5">+E15:E25</f>
        <v>4333.333333333333</v>
      </c>
      <c r="V15" s="315">
        <f t="shared" ref="V15:V21" si="6">+U15*S15</f>
        <v>4333.333333333333</v>
      </c>
      <c r="W15" s="315"/>
      <c r="X15" s="315"/>
      <c r="Y15" s="315"/>
      <c r="Z15" s="315"/>
      <c r="AA15" s="315"/>
      <c r="AB15" s="315"/>
      <c r="AC15" s="316"/>
    </row>
    <row r="16" spans="1:29" x14ac:dyDescent="0.25">
      <c r="A16" s="313">
        <f>+'SISTEMAS DE ALUMINIO'!A5</f>
        <v>4003</v>
      </c>
      <c r="B16" s="314" t="str">
        <f>+'SISTEMAS DE ALUMINIO'!B5</f>
        <v>193 JAMBA</v>
      </c>
      <c r="C16" s="315">
        <f t="shared" si="0"/>
        <v>2</v>
      </c>
      <c r="D16" s="315">
        <v>2</v>
      </c>
      <c r="E16" s="315">
        <f>+'SISTEMAS DE ALUMINIO'!C5</f>
        <v>3916.6666666666665</v>
      </c>
      <c r="F16" s="315">
        <f t="shared" si="2"/>
        <v>7833.333333333333</v>
      </c>
      <c r="G16" s="315"/>
      <c r="H16" s="315"/>
      <c r="I16" s="315"/>
      <c r="J16" s="315"/>
      <c r="K16" s="315"/>
      <c r="L16" s="315"/>
      <c r="M16" s="316"/>
      <c r="Q16" s="313">
        <f t="shared" si="3"/>
        <v>4003</v>
      </c>
      <c r="R16" s="314" t="str">
        <f t="shared" si="4"/>
        <v>193 JAMBA</v>
      </c>
      <c r="S16" s="315">
        <f t="shared" si="1"/>
        <v>2</v>
      </c>
      <c r="T16" s="315">
        <v>2</v>
      </c>
      <c r="U16" s="315">
        <f t="shared" si="5"/>
        <v>3916.6666666666665</v>
      </c>
      <c r="V16" s="315">
        <f t="shared" si="6"/>
        <v>7833.333333333333</v>
      </c>
      <c r="W16" s="315"/>
      <c r="X16" s="315"/>
      <c r="Y16" s="315"/>
      <c r="Z16" s="315"/>
      <c r="AA16" s="315"/>
      <c r="AB16" s="315"/>
      <c r="AC16" s="316"/>
    </row>
    <row r="17" spans="1:29" x14ac:dyDescent="0.25">
      <c r="A17" s="313">
        <f>+'SISTEMAS DE ALUMINIO'!A7</f>
        <v>4005</v>
      </c>
      <c r="B17" s="314" t="str">
        <f>+'SISTEMAS DE ALUMINIO'!B7</f>
        <v>147 ENGANCHE</v>
      </c>
      <c r="C17" s="315">
        <f t="shared" si="0"/>
        <v>2</v>
      </c>
      <c r="D17" s="315">
        <v>2</v>
      </c>
      <c r="E17" s="315">
        <f>+'SISTEMAS DE ALUMINIO'!C7</f>
        <v>3500</v>
      </c>
      <c r="F17" s="315">
        <f t="shared" si="2"/>
        <v>7000</v>
      </c>
      <c r="G17" s="315"/>
      <c r="H17" s="315"/>
      <c r="I17" s="315"/>
      <c r="J17" s="315"/>
      <c r="K17" s="315"/>
      <c r="L17" s="315"/>
      <c r="M17" s="316"/>
      <c r="Q17" s="313">
        <f t="shared" si="3"/>
        <v>4005</v>
      </c>
      <c r="R17" s="314" t="str">
        <f t="shared" si="4"/>
        <v>147 ENGANCHE</v>
      </c>
      <c r="S17" s="315">
        <f t="shared" si="1"/>
        <v>2</v>
      </c>
      <c r="T17" s="315">
        <v>2</v>
      </c>
      <c r="U17" s="315">
        <f t="shared" si="5"/>
        <v>3500</v>
      </c>
      <c r="V17" s="315">
        <f t="shared" si="6"/>
        <v>7000</v>
      </c>
      <c r="W17" s="315"/>
      <c r="X17" s="315"/>
      <c r="Y17" s="315"/>
      <c r="Z17" s="315"/>
      <c r="AA17" s="315"/>
      <c r="AB17" s="315"/>
      <c r="AC17" s="316"/>
    </row>
    <row r="18" spans="1:29" x14ac:dyDescent="0.25">
      <c r="A18" s="313">
        <f>+'SISTEMAS DE ALUMINIO'!A6</f>
        <v>4004</v>
      </c>
      <c r="B18" s="314" t="str">
        <f>+'SISTEMAS DE ALUMINIO'!B6</f>
        <v>192 TRASLAPE</v>
      </c>
      <c r="C18" s="315">
        <f t="shared" si="0"/>
        <v>2</v>
      </c>
      <c r="D18" s="315">
        <v>2</v>
      </c>
      <c r="E18" s="315">
        <f>+'SISTEMAS DE ALUMINIO'!C6</f>
        <v>2583.3333333333335</v>
      </c>
      <c r="F18" s="315">
        <f t="shared" si="2"/>
        <v>5166.666666666667</v>
      </c>
      <c r="G18" s="315"/>
      <c r="H18" s="315"/>
      <c r="I18" s="315"/>
      <c r="J18" s="315"/>
      <c r="K18" s="315"/>
      <c r="L18" s="315"/>
      <c r="M18" s="316"/>
      <c r="Q18" s="313">
        <f t="shared" si="3"/>
        <v>4004</v>
      </c>
      <c r="R18" s="314" t="str">
        <f t="shared" si="4"/>
        <v>192 TRASLAPE</v>
      </c>
      <c r="S18" s="315">
        <f t="shared" si="1"/>
        <v>2</v>
      </c>
      <c r="T18" s="315">
        <v>2</v>
      </c>
      <c r="U18" s="315">
        <f t="shared" si="5"/>
        <v>2583.3333333333335</v>
      </c>
      <c r="V18" s="315">
        <f t="shared" si="6"/>
        <v>5166.666666666667</v>
      </c>
      <c r="W18" s="315"/>
      <c r="X18" s="315"/>
      <c r="Y18" s="315"/>
      <c r="Z18" s="315"/>
      <c r="AA18" s="315"/>
      <c r="AB18" s="315"/>
      <c r="AC18" s="316"/>
    </row>
    <row r="19" spans="1:29" x14ac:dyDescent="0.25">
      <c r="A19" s="313">
        <f>+'SISTEMAS DE ALUMINIO'!A8</f>
        <v>4006</v>
      </c>
      <c r="B19" s="314" t="str">
        <f>+'SISTEMAS DE ALUMINIO'!B8</f>
        <v>349 HORIZONTAL</v>
      </c>
      <c r="C19" s="315">
        <f t="shared" si="0"/>
        <v>2</v>
      </c>
      <c r="D19" s="315">
        <v>2</v>
      </c>
      <c r="E19" s="315">
        <f>+'SISTEMAS DE ALUMINIO'!C8</f>
        <v>4250</v>
      </c>
      <c r="F19" s="315">
        <f t="shared" si="2"/>
        <v>8500</v>
      </c>
      <c r="G19" s="315"/>
      <c r="H19" s="315"/>
      <c r="I19" s="315"/>
      <c r="J19" s="315"/>
      <c r="K19" s="315"/>
      <c r="L19" s="315"/>
      <c r="M19" s="316"/>
      <c r="Q19" s="313">
        <f t="shared" si="3"/>
        <v>4006</v>
      </c>
      <c r="R19" s="314" t="str">
        <f t="shared" si="4"/>
        <v>349 HORIZONTAL</v>
      </c>
      <c r="S19" s="315">
        <f t="shared" si="1"/>
        <v>2</v>
      </c>
      <c r="T19" s="315">
        <v>2</v>
      </c>
      <c r="U19" s="315">
        <f t="shared" si="5"/>
        <v>4250</v>
      </c>
      <c r="V19" s="315">
        <f t="shared" si="6"/>
        <v>8500</v>
      </c>
      <c r="W19" s="315"/>
      <c r="X19" s="315"/>
      <c r="Y19" s="315"/>
      <c r="Z19" s="315"/>
      <c r="AA19" s="315"/>
      <c r="AB19" s="315"/>
      <c r="AC19" s="316"/>
    </row>
    <row r="20" spans="1:29" x14ac:dyDescent="0.25">
      <c r="A20" s="313">
        <f>+'PERFIL Y ACCESORIOS HIERRO'!A31</f>
        <v>5030</v>
      </c>
      <c r="B20" s="314" t="str">
        <f>+'PERFIL Y ACCESORIOS HIERRO'!B31</f>
        <v>RODAMIENTO 5020</v>
      </c>
      <c r="C20" s="315">
        <f t="shared" si="0"/>
        <v>4</v>
      </c>
      <c r="D20" s="315">
        <v>4</v>
      </c>
      <c r="E20" s="315">
        <f>+'PERFIL Y ACCESORIOS HIERRO'!C31</f>
        <v>1500</v>
      </c>
      <c r="F20" s="315">
        <f t="shared" si="2"/>
        <v>6000</v>
      </c>
      <c r="G20" s="315"/>
      <c r="H20" s="315"/>
      <c r="I20" s="315"/>
      <c r="J20" s="315"/>
      <c r="K20" s="315"/>
      <c r="L20" s="315"/>
      <c r="M20" s="316"/>
      <c r="Q20" s="313">
        <f t="shared" si="3"/>
        <v>5030</v>
      </c>
      <c r="R20" s="314" t="str">
        <f t="shared" si="4"/>
        <v>RODAMIENTO 5020</v>
      </c>
      <c r="S20" s="315">
        <f t="shared" si="1"/>
        <v>4</v>
      </c>
      <c r="T20" s="315">
        <v>4</v>
      </c>
      <c r="U20" s="315">
        <f t="shared" si="5"/>
        <v>1500</v>
      </c>
      <c r="V20" s="315">
        <f t="shared" si="6"/>
        <v>6000</v>
      </c>
      <c r="W20" s="315"/>
      <c r="X20" s="315"/>
      <c r="Y20" s="315"/>
      <c r="Z20" s="315"/>
      <c r="AA20" s="315"/>
      <c r="AB20" s="315"/>
      <c r="AC20" s="316"/>
    </row>
    <row r="21" spans="1:29" x14ac:dyDescent="0.25">
      <c r="A21" s="313">
        <f>+'ACCESORIOS DE ALUMINIO Y ACERO'!A250</f>
        <v>3249</v>
      </c>
      <c r="B21" s="314" t="str">
        <f>+'ACCESORIOS DE ALUMINIO Y ACERO'!B250</f>
        <v>TORNILLO TUERCA Y ARANDELA 1/2X4´1/4</v>
      </c>
      <c r="C21" s="315">
        <f t="shared" si="0"/>
        <v>14</v>
      </c>
      <c r="D21" s="315">
        <v>14</v>
      </c>
      <c r="E21" s="315">
        <f>+'ACCESORIOS DE ALUMINIO Y ACERO'!C250</f>
        <v>150</v>
      </c>
      <c r="F21" s="315">
        <f t="shared" si="2"/>
        <v>2100</v>
      </c>
      <c r="G21" s="315"/>
      <c r="H21" s="315"/>
      <c r="I21" s="315"/>
      <c r="J21" s="315"/>
      <c r="K21" s="315"/>
      <c r="L21" s="315"/>
      <c r="M21" s="316"/>
      <c r="Q21" s="313">
        <f t="shared" si="3"/>
        <v>3249</v>
      </c>
      <c r="R21" s="314" t="str">
        <f t="shared" si="4"/>
        <v>TORNILLO TUERCA Y ARANDELA 1/2X4´1/4</v>
      </c>
      <c r="S21" s="315">
        <f t="shared" si="1"/>
        <v>14</v>
      </c>
      <c r="T21" s="315">
        <v>14</v>
      </c>
      <c r="U21" s="315">
        <f t="shared" si="5"/>
        <v>150</v>
      </c>
      <c r="V21" s="315">
        <f t="shared" si="6"/>
        <v>2100</v>
      </c>
      <c r="W21" s="315"/>
      <c r="X21" s="315"/>
      <c r="Y21" s="315"/>
      <c r="Z21" s="315"/>
      <c r="AA21" s="315"/>
      <c r="AB21" s="315"/>
      <c r="AC21" s="316"/>
    </row>
    <row r="22" spans="1:29" x14ac:dyDescent="0.25">
      <c r="A22" s="313">
        <f>+'SISTEMAS DE ALUMINIO'!A125</f>
        <v>4111</v>
      </c>
      <c r="B22" s="313" t="str">
        <f>+'SISTEMAS DE ALUMINIO'!B125</f>
        <v>4 MM CLARO</v>
      </c>
      <c r="C22" s="315">
        <f t="shared" si="0"/>
        <v>1</v>
      </c>
      <c r="D22" s="315">
        <v>1</v>
      </c>
      <c r="E22" s="315">
        <f>+'SISTEMAS DE ALUMINIO'!C125</f>
        <v>4166.6666666666697</v>
      </c>
      <c r="F22" s="315">
        <f>+E22*C22</f>
        <v>4166.6666666666697</v>
      </c>
      <c r="G22" s="315"/>
      <c r="H22" s="315"/>
      <c r="I22" s="315"/>
      <c r="J22" s="315"/>
      <c r="K22" s="315"/>
      <c r="L22" s="315"/>
      <c r="M22" s="316"/>
      <c r="Q22" s="313">
        <f t="shared" si="3"/>
        <v>4111</v>
      </c>
      <c r="R22" s="314" t="str">
        <f t="shared" si="4"/>
        <v>4 MM CLARO</v>
      </c>
      <c r="S22" s="315">
        <f t="shared" si="1"/>
        <v>1</v>
      </c>
      <c r="T22" s="315">
        <v>1</v>
      </c>
      <c r="U22" s="315">
        <f t="shared" si="5"/>
        <v>4166.6666666666697</v>
      </c>
      <c r="V22" s="315">
        <f>+U22*S22</f>
        <v>4166.6666666666697</v>
      </c>
      <c r="W22" s="315"/>
      <c r="X22" s="315"/>
      <c r="Y22" s="315"/>
      <c r="Z22" s="315"/>
      <c r="AA22" s="315"/>
      <c r="AB22" s="315"/>
      <c r="AC22" s="316"/>
    </row>
    <row r="23" spans="1:29" x14ac:dyDescent="0.25">
      <c r="A23" s="317">
        <f>+'ACCESORIOS DE ALUMINIO Y ACERO'!A255</f>
        <v>3254</v>
      </c>
      <c r="B23" s="317" t="str">
        <f>+'ACCESORIOS DE ALUMINIO Y ACERO'!B255</f>
        <v>EMPAQUE 5020</v>
      </c>
      <c r="C23" s="315">
        <f t="shared" si="0"/>
        <v>6</v>
      </c>
      <c r="D23" s="318">
        <v>6</v>
      </c>
      <c r="E23" s="318">
        <f>+'ACCESORIOS DE ALUMINIO Y ACERO'!C255</f>
        <v>1150</v>
      </c>
      <c r="F23" s="315">
        <f t="shared" ref="F23:F25" si="7">+E23*C23</f>
        <v>6900</v>
      </c>
      <c r="G23" s="318"/>
      <c r="H23" s="318"/>
      <c r="I23" s="318"/>
      <c r="J23" s="318"/>
      <c r="K23" s="318"/>
      <c r="L23" s="318"/>
      <c r="M23" s="319"/>
      <c r="Q23" s="313">
        <f t="shared" si="3"/>
        <v>3254</v>
      </c>
      <c r="R23" s="314" t="str">
        <f t="shared" si="4"/>
        <v>EMPAQUE 5020</v>
      </c>
      <c r="S23" s="315">
        <f t="shared" si="1"/>
        <v>6</v>
      </c>
      <c r="T23" s="318">
        <v>6</v>
      </c>
      <c r="U23" s="315">
        <f t="shared" si="5"/>
        <v>1150</v>
      </c>
      <c r="V23" s="315">
        <f t="shared" ref="V23:V24" si="8">+U23*S23</f>
        <v>6900</v>
      </c>
      <c r="W23" s="318"/>
      <c r="X23" s="318"/>
      <c r="Y23" s="318"/>
      <c r="Z23" s="318"/>
      <c r="AA23" s="318"/>
      <c r="AB23" s="318"/>
      <c r="AC23" s="319"/>
    </row>
    <row r="24" spans="1:29" x14ac:dyDescent="0.25">
      <c r="A24" s="317">
        <f>+'ACCESORIOS DE ALUMINIO Y ACERO'!A282</f>
        <v>3281</v>
      </c>
      <c r="B24" s="317" t="str">
        <f>+'ACCESORIOS DE ALUMINIO Y ACERO'!B282</f>
        <v>FELPA</v>
      </c>
      <c r="C24" s="315">
        <f t="shared" si="0"/>
        <v>2</v>
      </c>
      <c r="D24" s="318">
        <v>2</v>
      </c>
      <c r="E24" s="318">
        <f>+'ACCESORIOS DE ALUMINIO Y ACERO'!C282</f>
        <v>320</v>
      </c>
      <c r="F24" s="315">
        <f t="shared" si="7"/>
        <v>640</v>
      </c>
      <c r="G24" s="318"/>
      <c r="H24" s="318"/>
      <c r="I24" s="318"/>
      <c r="J24" s="318"/>
      <c r="K24" s="318"/>
      <c r="L24" s="318"/>
      <c r="M24" s="319"/>
      <c r="Q24" s="313">
        <f t="shared" si="3"/>
        <v>3281</v>
      </c>
      <c r="R24" s="314" t="str">
        <f t="shared" si="4"/>
        <v>FELPA</v>
      </c>
      <c r="S24" s="315">
        <f t="shared" si="1"/>
        <v>2</v>
      </c>
      <c r="T24" s="318">
        <v>2</v>
      </c>
      <c r="U24" s="315">
        <f t="shared" si="5"/>
        <v>320</v>
      </c>
      <c r="V24" s="315">
        <f t="shared" si="8"/>
        <v>640</v>
      </c>
      <c r="W24" s="318"/>
      <c r="X24" s="318"/>
      <c r="Y24" s="318"/>
      <c r="Z24" s="318"/>
      <c r="AA24" s="318"/>
      <c r="AB24" s="318"/>
      <c r="AC24" s="319"/>
    </row>
    <row r="25" spans="1:29" ht="15.75" thickBot="1" x14ac:dyDescent="0.3">
      <c r="A25" s="317"/>
      <c r="B25" s="318"/>
      <c r="C25" s="315">
        <f t="shared" si="0"/>
        <v>0</v>
      </c>
      <c r="D25" s="318"/>
      <c r="E25" s="318"/>
      <c r="F25" s="315">
        <f t="shared" si="7"/>
        <v>0</v>
      </c>
      <c r="G25" s="318"/>
      <c r="H25" s="318"/>
      <c r="I25" s="318"/>
      <c r="J25" s="318"/>
      <c r="K25" s="318"/>
      <c r="L25" s="318"/>
      <c r="M25" s="319"/>
      <c r="Q25" s="317"/>
      <c r="R25" s="318"/>
      <c r="S25" s="315">
        <f t="shared" si="1"/>
        <v>0</v>
      </c>
      <c r="T25" s="318"/>
      <c r="U25" s="318"/>
      <c r="V25" s="315">
        <f t="shared" ref="V25" si="9">+U25*S25</f>
        <v>0</v>
      </c>
      <c r="W25" s="318"/>
      <c r="X25" s="318"/>
      <c r="Y25" s="318"/>
      <c r="Z25" s="318"/>
      <c r="AA25" s="318"/>
      <c r="AB25" s="318"/>
      <c r="AC25" s="319"/>
    </row>
    <row r="26" spans="1:29" ht="15.75" thickBot="1" x14ac:dyDescent="0.3">
      <c r="A26" s="682" t="s">
        <v>150</v>
      </c>
      <c r="B26" s="683"/>
      <c r="C26" s="320"/>
      <c r="D26" s="465"/>
      <c r="E26" s="465"/>
      <c r="F26" s="481">
        <f>SUM(F14:F25)</f>
        <v>56806.666666666672</v>
      </c>
      <c r="G26" s="320" t="s">
        <v>150</v>
      </c>
      <c r="H26" s="320"/>
      <c r="I26" s="320"/>
      <c r="J26" s="481">
        <f>SUM(J14)</f>
        <v>7489.779293851162</v>
      </c>
      <c r="K26" s="682" t="s">
        <v>150</v>
      </c>
      <c r="L26" s="683"/>
      <c r="M26" s="312">
        <f>+SUM(M14:M22)</f>
        <v>40965.85592251987</v>
      </c>
      <c r="Q26" s="304" t="s">
        <v>150</v>
      </c>
      <c r="R26" s="306"/>
      <c r="S26" s="292">
        <f>+SUM(V14:V25)</f>
        <v>56806.666666666672</v>
      </c>
      <c r="T26" s="293"/>
      <c r="U26" s="293"/>
      <c r="V26" s="294"/>
      <c r="W26" s="320" t="s">
        <v>150</v>
      </c>
      <c r="X26" s="320"/>
      <c r="Y26" s="304">
        <f>+SUM(Z14:Z19)</f>
        <v>4344.0719904336738</v>
      </c>
      <c r="Z26" s="306"/>
      <c r="AA26" s="304" t="s">
        <v>150</v>
      </c>
      <c r="AB26" s="306"/>
      <c r="AC26" s="312">
        <f>+SUM(AC14:AC22)</f>
        <v>38961.599073776604</v>
      </c>
    </row>
    <row r="27" spans="1:29" ht="15.75" thickBot="1" x14ac:dyDescent="0.3">
      <c r="A27" s="321"/>
      <c r="B27" s="322"/>
      <c r="C27" s="322"/>
      <c r="D27" s="322"/>
      <c r="E27" s="322"/>
      <c r="F27" s="322"/>
      <c r="G27" s="322"/>
      <c r="H27" s="322"/>
      <c r="I27" s="322"/>
      <c r="J27" s="322"/>
      <c r="K27" s="322"/>
      <c r="L27" s="322"/>
      <c r="M27" s="322"/>
      <c r="Q27" s="321"/>
      <c r="R27" s="322"/>
      <c r="S27" s="322"/>
      <c r="T27" s="322"/>
      <c r="U27" s="322"/>
      <c r="V27" s="322"/>
      <c r="W27" s="322"/>
      <c r="X27" s="322"/>
      <c r="Y27" s="322"/>
      <c r="Z27" s="322"/>
      <c r="AA27" s="322"/>
      <c r="AB27" s="322"/>
      <c r="AC27" s="322"/>
    </row>
    <row r="28" spans="1:29" ht="15.75" thickBot="1" x14ac:dyDescent="0.3">
      <c r="A28" s="684" t="s">
        <v>1106</v>
      </c>
      <c r="B28" s="680"/>
      <c r="C28" s="680"/>
      <c r="D28" s="680"/>
      <c r="E28" s="680"/>
      <c r="F28" s="680"/>
      <c r="G28" s="680"/>
      <c r="H28" s="680"/>
      <c r="I28" s="680"/>
      <c r="J28" s="680"/>
      <c r="K28" s="680"/>
      <c r="L28" s="680"/>
      <c r="M28" s="681"/>
      <c r="Q28" s="292" t="s">
        <v>1106</v>
      </c>
      <c r="R28" s="293"/>
      <c r="S28" s="293"/>
      <c r="T28" s="293"/>
      <c r="U28" s="293"/>
      <c r="V28" s="293"/>
      <c r="W28" s="293"/>
      <c r="X28" s="293"/>
      <c r="Y28" s="293"/>
      <c r="Z28" s="293"/>
      <c r="AA28" s="293"/>
      <c r="AB28" s="293"/>
      <c r="AC28" s="294"/>
    </row>
    <row r="29" spans="1:29" x14ac:dyDescent="0.25">
      <c r="A29" s="701" t="s">
        <v>1107</v>
      </c>
      <c r="B29" s="702"/>
      <c r="C29" s="702"/>
      <c r="D29" s="349"/>
      <c r="E29" s="677">
        <f>+F26</f>
        <v>56806.666666666672</v>
      </c>
      <c r="F29" s="678"/>
      <c r="G29" s="325" t="s">
        <v>1105</v>
      </c>
      <c r="H29" s="326"/>
      <c r="I29" s="326"/>
      <c r="J29" s="327"/>
      <c r="K29" s="703" t="s">
        <v>1111</v>
      </c>
      <c r="L29" s="704"/>
      <c r="M29" s="328">
        <f>+E29+E30+E31+J29+J30+J31</f>
        <v>105262.3018830377</v>
      </c>
      <c r="Q29" s="348" t="s">
        <v>1107</v>
      </c>
      <c r="R29" s="349"/>
      <c r="S29" s="349"/>
      <c r="T29" s="349"/>
      <c r="U29" s="677">
        <f>+S26</f>
        <v>56806.666666666672</v>
      </c>
      <c r="V29" s="678"/>
      <c r="W29" s="325" t="s">
        <v>1105</v>
      </c>
      <c r="X29" s="326"/>
      <c r="Y29" s="326"/>
      <c r="Z29" s="327"/>
      <c r="AA29" s="323" t="s">
        <v>1111</v>
      </c>
      <c r="AB29" s="324"/>
      <c r="AC29" s="328">
        <f>+U29+U30+U31+Z29+Z30+Z31</f>
        <v>100112.33773087696</v>
      </c>
    </row>
    <row r="30" spans="1:29" x14ac:dyDescent="0.25">
      <c r="A30" s="705" t="s">
        <v>256</v>
      </c>
      <c r="B30" s="706"/>
      <c r="C30" s="706"/>
      <c r="D30" s="351"/>
      <c r="E30" s="670">
        <f>+J26</f>
        <v>7489.779293851162</v>
      </c>
      <c r="F30" s="671"/>
      <c r="G30" s="331" t="s">
        <v>1109</v>
      </c>
      <c r="H30" s="332"/>
      <c r="I30" s="332"/>
      <c r="J30" s="300"/>
      <c r="K30" s="707" t="s">
        <v>199</v>
      </c>
      <c r="L30" s="708"/>
      <c r="M30" s="301">
        <f>+M29/1</f>
        <v>105262.3018830377</v>
      </c>
      <c r="Q30" s="350" t="s">
        <v>256</v>
      </c>
      <c r="R30" s="351"/>
      <c r="S30" s="351"/>
      <c r="T30" s="351"/>
      <c r="U30" s="670">
        <f>+Y26</f>
        <v>4344.0719904336738</v>
      </c>
      <c r="V30" s="671"/>
      <c r="W30" s="331" t="s">
        <v>1109</v>
      </c>
      <c r="X30" s="332"/>
      <c r="Y30" s="332"/>
      <c r="Z30" s="300"/>
      <c r="AA30" s="329" t="s">
        <v>199</v>
      </c>
      <c r="AB30" s="330"/>
      <c r="AC30" s="301">
        <f>+AC29/1</f>
        <v>100112.33773087696</v>
      </c>
    </row>
    <row r="31" spans="1:29" ht="15.75" thickBot="1" x14ac:dyDescent="0.3">
      <c r="A31" s="697" t="s">
        <v>1108</v>
      </c>
      <c r="B31" s="698"/>
      <c r="C31" s="698"/>
      <c r="D31" s="353"/>
      <c r="E31" s="675">
        <f>+M26</f>
        <v>40965.85592251987</v>
      </c>
      <c r="F31" s="676"/>
      <c r="G31" s="335" t="s">
        <v>1110</v>
      </c>
      <c r="H31" s="336"/>
      <c r="I31" s="336"/>
      <c r="J31" s="337"/>
      <c r="K31" s="331" t="s">
        <v>1112</v>
      </c>
      <c r="L31" s="332">
        <v>0.3</v>
      </c>
      <c r="M31" s="301">
        <f>+M30*L31</f>
        <v>31578.690564911307</v>
      </c>
      <c r="Q31" s="352" t="s">
        <v>1108</v>
      </c>
      <c r="R31" s="353"/>
      <c r="S31" s="353"/>
      <c r="T31" s="353"/>
      <c r="U31" s="675">
        <f>+AC26</f>
        <v>38961.599073776604</v>
      </c>
      <c r="V31" s="676"/>
      <c r="W31" s="335" t="s">
        <v>1110</v>
      </c>
      <c r="X31" s="336"/>
      <c r="Y31" s="336"/>
      <c r="Z31" s="337"/>
      <c r="AA31" s="331" t="s">
        <v>1112</v>
      </c>
      <c r="AB31" s="332">
        <v>0.3</v>
      </c>
      <c r="AC31" s="301">
        <f>+AC30*AB31</f>
        <v>30033.701319263084</v>
      </c>
    </row>
    <row r="32" spans="1:29" ht="15.75" thickBot="1" x14ac:dyDescent="0.3">
      <c r="A32" s="321"/>
      <c r="B32" s="322"/>
      <c r="C32" s="322"/>
      <c r="D32" s="322"/>
      <c r="E32" s="322"/>
      <c r="F32" s="322"/>
      <c r="G32" s="322"/>
      <c r="H32" s="322"/>
      <c r="I32" s="322"/>
      <c r="J32" s="322"/>
      <c r="K32" s="699" t="s">
        <v>1113</v>
      </c>
      <c r="L32" s="700"/>
      <c r="M32" s="347">
        <f>+M31+M30</f>
        <v>136840.99244794901</v>
      </c>
      <c r="Q32" s="321"/>
      <c r="R32" s="322"/>
      <c r="S32" s="322"/>
      <c r="T32" s="322"/>
      <c r="U32" s="322"/>
      <c r="V32" s="322"/>
      <c r="W32" s="322"/>
      <c r="X32" s="322"/>
      <c r="Y32" s="322"/>
      <c r="Z32" s="322"/>
      <c r="AA32" s="333" t="s">
        <v>1113</v>
      </c>
      <c r="AB32" s="334"/>
      <c r="AC32" s="347">
        <f>+AC31+AC30</f>
        <v>130146.03905014004</v>
      </c>
    </row>
    <row r="33" spans="2:8" x14ac:dyDescent="0.25">
      <c r="B33" s="291"/>
    </row>
    <row r="34" spans="2:8" x14ac:dyDescent="0.25">
      <c r="F34" s="282">
        <f>+G34/H34</f>
        <v>90.811397616458464</v>
      </c>
      <c r="G34" s="282">
        <v>8878859.4248107858</v>
      </c>
      <c r="H34" s="282">
        <f>+F26+M26</f>
        <v>97772.522589186541</v>
      </c>
    </row>
    <row r="35" spans="2:8" x14ac:dyDescent="0.25">
      <c r="F35" s="282">
        <f>+G35/H34</f>
        <v>7.5041167933511268</v>
      </c>
      <c r="G35" s="282">
        <v>733696.42868981708</v>
      </c>
    </row>
  </sheetData>
  <mergeCells count="29">
    <mergeCell ref="A31:C31"/>
    <mergeCell ref="E31:F31"/>
    <mergeCell ref="K32:L32"/>
    <mergeCell ref="A28:M28"/>
    <mergeCell ref="A29:C29"/>
    <mergeCell ref="E29:F29"/>
    <mergeCell ref="K29:L29"/>
    <mergeCell ref="A30:C30"/>
    <mergeCell ref="E30:F30"/>
    <mergeCell ref="K30:L30"/>
    <mergeCell ref="A26:B26"/>
    <mergeCell ref="K26:L26"/>
    <mergeCell ref="A1:M1"/>
    <mergeCell ref="A2:M2"/>
    <mergeCell ref="B4:G4"/>
    <mergeCell ref="B5:C5"/>
    <mergeCell ref="A8:B8"/>
    <mergeCell ref="C8:G8"/>
    <mergeCell ref="I8:J8"/>
    <mergeCell ref="B10:F10"/>
    <mergeCell ref="H10:M10"/>
    <mergeCell ref="A12:F12"/>
    <mergeCell ref="G12:J12"/>
    <mergeCell ref="K12:M12"/>
    <mergeCell ref="U30:V30"/>
    <mergeCell ref="Q1:AC1"/>
    <mergeCell ref="U31:V31"/>
    <mergeCell ref="U29:V29"/>
    <mergeCell ref="Q2:AC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AA65"/>
  <sheetViews>
    <sheetView topLeftCell="A5" zoomScale="85" zoomScaleNormal="85" workbookViewId="0">
      <selection activeCell="F35" sqref="F35"/>
    </sheetView>
  </sheetViews>
  <sheetFormatPr baseColWidth="10" defaultRowHeight="15" x14ac:dyDescent="0.25"/>
  <cols>
    <col min="1" max="1" width="11.5703125" style="284" customWidth="1"/>
    <col min="2" max="2" width="34" style="282" customWidth="1"/>
    <col min="3" max="3" width="14.28515625" style="282" customWidth="1"/>
    <col min="4" max="4" width="11.5703125" style="282" customWidth="1"/>
    <col min="5" max="5" width="12.140625" style="282" bestFit="1" customWidth="1"/>
    <col min="6" max="6" width="14.5703125" style="282" bestFit="1" customWidth="1"/>
    <col min="7" max="8" width="17.7109375" style="282" customWidth="1"/>
    <col min="9" max="9" width="11.42578125" style="282"/>
    <col min="10" max="10" width="16.140625" style="282" customWidth="1"/>
    <col min="11" max="11" width="16" style="282" customWidth="1"/>
    <col min="12" max="12" width="13.140625" style="282" bestFit="1" customWidth="1"/>
    <col min="13" max="13" width="16.7109375" style="282" bestFit="1" customWidth="1"/>
    <col min="14" max="15" width="11.42578125" style="282"/>
    <col min="16" max="16" width="35" style="282" bestFit="1" customWidth="1"/>
    <col min="17" max="18" width="11.42578125" style="282"/>
    <col min="19" max="19" width="12.140625" style="282" bestFit="1" customWidth="1"/>
    <col min="20" max="20" width="15.42578125" style="282" customWidth="1"/>
    <col min="21" max="21" width="28.5703125" style="282" bestFit="1" customWidth="1"/>
    <col min="22" max="23" width="11.42578125" style="282"/>
    <col min="24" max="24" width="15.140625" style="282" customWidth="1"/>
    <col min="25" max="25" width="13.42578125" style="282" customWidth="1"/>
    <col min="26" max="26" width="13.140625" style="282" bestFit="1" customWidth="1"/>
    <col min="27" max="27" width="16.85546875" style="282" customWidth="1"/>
    <col min="28" max="16384" width="11.42578125" style="282"/>
  </cols>
  <sheetData>
    <row r="1" spans="1:27" ht="15.75" thickBot="1" x14ac:dyDescent="0.3">
      <c r="A1" s="672" t="s">
        <v>1096</v>
      </c>
      <c r="B1" s="673"/>
      <c r="C1" s="673"/>
      <c r="D1" s="673"/>
      <c r="E1" s="673"/>
      <c r="F1" s="673"/>
      <c r="G1" s="673"/>
      <c r="H1" s="673"/>
      <c r="I1" s="673"/>
      <c r="J1" s="673"/>
      <c r="K1" s="673"/>
      <c r="L1" s="673"/>
      <c r="M1" s="674"/>
      <c r="O1" s="672" t="s">
        <v>1096</v>
      </c>
      <c r="P1" s="673"/>
      <c r="Q1" s="673"/>
      <c r="R1" s="673"/>
      <c r="S1" s="673"/>
      <c r="T1" s="673"/>
      <c r="U1" s="673"/>
      <c r="V1" s="673"/>
      <c r="W1" s="673"/>
      <c r="X1" s="673"/>
      <c r="Y1" s="673"/>
      <c r="Z1" s="673"/>
      <c r="AA1" s="674"/>
    </row>
    <row r="2" spans="1:27" ht="15.75" thickBot="1" x14ac:dyDescent="0.3">
      <c r="A2" s="684" t="s">
        <v>1197</v>
      </c>
      <c r="B2" s="680"/>
      <c r="C2" s="680"/>
      <c r="D2" s="680"/>
      <c r="E2" s="680"/>
      <c r="F2" s="680"/>
      <c r="G2" s="680"/>
      <c r="H2" s="680"/>
      <c r="I2" s="680"/>
      <c r="J2" s="680"/>
      <c r="K2" s="680"/>
      <c r="L2" s="680"/>
      <c r="M2" s="681"/>
      <c r="O2" s="684" t="s">
        <v>1077</v>
      </c>
      <c r="P2" s="680"/>
      <c r="Q2" s="680"/>
      <c r="R2" s="680"/>
      <c r="S2" s="680"/>
      <c r="T2" s="680"/>
      <c r="U2" s="680"/>
      <c r="V2" s="680"/>
      <c r="W2" s="680"/>
      <c r="X2" s="680"/>
      <c r="Y2" s="680"/>
      <c r="Z2" s="680"/>
      <c r="AA2" s="681"/>
    </row>
    <row r="3" spans="1:27" ht="15.75" thickBot="1" x14ac:dyDescent="0.3">
      <c r="A3" s="295"/>
      <c r="B3" s="296"/>
      <c r="C3" s="296"/>
      <c r="D3" s="296"/>
      <c r="E3" s="296"/>
      <c r="F3" s="296"/>
      <c r="G3" s="296"/>
      <c r="H3" s="296"/>
      <c r="I3" s="296"/>
      <c r="J3" s="296"/>
      <c r="K3" s="296"/>
      <c r="L3" s="296"/>
      <c r="M3" s="297"/>
      <c r="O3" s="295"/>
      <c r="P3" s="296"/>
      <c r="Q3" s="296"/>
      <c r="R3" s="296"/>
      <c r="S3" s="296"/>
      <c r="T3" s="296"/>
      <c r="U3" s="296"/>
      <c r="V3" s="296"/>
      <c r="W3" s="296"/>
      <c r="X3" s="296"/>
      <c r="Y3" s="296"/>
      <c r="Z3" s="296"/>
      <c r="AA3" s="297"/>
    </row>
    <row r="4" spans="1:27" ht="15.75" thickBot="1" x14ac:dyDescent="0.3">
      <c r="A4" s="298" t="s">
        <v>1118</v>
      </c>
      <c r="B4" s="684"/>
      <c r="C4" s="680"/>
      <c r="D4" s="680"/>
      <c r="E4" s="680"/>
      <c r="F4" s="680"/>
      <c r="G4" s="681"/>
      <c r="H4" s="296"/>
      <c r="I4" s="296"/>
      <c r="J4" s="296"/>
      <c r="K4" s="296"/>
      <c r="L4" s="296"/>
      <c r="M4" s="297"/>
      <c r="O4" s="298" t="s">
        <v>1118</v>
      </c>
      <c r="P4" s="684"/>
      <c r="Q4" s="680"/>
      <c r="R4" s="680"/>
      <c r="S4" s="680"/>
      <c r="T4" s="680"/>
      <c r="U4" s="681"/>
      <c r="V4" s="296"/>
      <c r="W4" s="296"/>
      <c r="X4" s="296"/>
      <c r="Y4" s="296"/>
      <c r="Z4" s="296"/>
      <c r="AA4" s="297"/>
    </row>
    <row r="5" spans="1:27" ht="15.75" thickBot="1" x14ac:dyDescent="0.3">
      <c r="A5" s="298" t="s">
        <v>1119</v>
      </c>
      <c r="B5" s="684"/>
      <c r="C5" s="681"/>
      <c r="D5" s="296"/>
      <c r="E5" s="296"/>
      <c r="F5" s="296"/>
      <c r="G5" s="296"/>
      <c r="H5" s="296"/>
      <c r="I5" s="296"/>
      <c r="J5" s="296"/>
      <c r="K5" s="296"/>
      <c r="L5" s="296"/>
      <c r="M5" s="297"/>
      <c r="O5" s="298" t="s">
        <v>1119</v>
      </c>
      <c r="P5" s="684"/>
      <c r="Q5" s="681"/>
      <c r="R5" s="296"/>
      <c r="S5" s="296"/>
      <c r="T5" s="296"/>
      <c r="U5" s="296"/>
      <c r="V5" s="296"/>
      <c r="W5" s="296"/>
      <c r="X5" s="296"/>
      <c r="Y5" s="296"/>
      <c r="Z5" s="296"/>
      <c r="AA5" s="297"/>
    </row>
    <row r="6" spans="1:27" x14ac:dyDescent="0.25">
      <c r="A6" s="295"/>
      <c r="B6" s="296"/>
      <c r="C6" s="296"/>
      <c r="D6" s="296"/>
      <c r="E6" s="296"/>
      <c r="F6" s="296"/>
      <c r="G6" s="296"/>
      <c r="H6" s="296"/>
      <c r="I6" s="296"/>
      <c r="J6" s="296"/>
      <c r="K6" s="296"/>
      <c r="L6" s="296"/>
      <c r="M6" s="297"/>
      <c r="O6" s="295"/>
      <c r="P6" s="296"/>
      <c r="Q6" s="296"/>
      <c r="R6" s="296"/>
      <c r="S6" s="296"/>
      <c r="T6" s="296"/>
      <c r="U6" s="296"/>
      <c r="V6" s="296"/>
      <c r="W6" s="296"/>
      <c r="X6" s="296"/>
      <c r="Y6" s="296"/>
      <c r="Z6" s="296"/>
      <c r="AA6" s="297"/>
    </row>
    <row r="7" spans="1:27" ht="15.75" thickBot="1" x14ac:dyDescent="0.3">
      <c r="A7" s="299"/>
      <c r="B7" s="300"/>
      <c r="C7" s="300"/>
      <c r="D7" s="300"/>
      <c r="E7" s="300"/>
      <c r="F7" s="300"/>
      <c r="G7" s="300"/>
      <c r="H7" s="300"/>
      <c r="I7" s="300"/>
      <c r="J7" s="300"/>
      <c r="K7" s="300"/>
      <c r="L7" s="300"/>
      <c r="M7" s="301"/>
      <c r="O7" s="299"/>
      <c r="P7" s="300"/>
      <c r="Q7" s="300"/>
      <c r="R7" s="300"/>
      <c r="S7" s="300"/>
      <c r="T7" s="300"/>
      <c r="U7" s="300"/>
      <c r="V7" s="300"/>
      <c r="W7" s="300"/>
      <c r="X7" s="300"/>
      <c r="Y7" s="300"/>
      <c r="Z7" s="300"/>
      <c r="AA7" s="301"/>
    </row>
    <row r="8" spans="1:27" ht="15.75" thickBot="1" x14ac:dyDescent="0.3">
      <c r="A8" s="685" t="s">
        <v>1097</v>
      </c>
      <c r="B8" s="686"/>
      <c r="C8" s="682" t="s">
        <v>1210</v>
      </c>
      <c r="D8" s="687"/>
      <c r="E8" s="687"/>
      <c r="F8" s="687"/>
      <c r="G8" s="683"/>
      <c r="H8" s="300"/>
      <c r="I8" s="682" t="s">
        <v>1098</v>
      </c>
      <c r="J8" s="683"/>
      <c r="K8" s="307">
        <f>+Y8</f>
        <v>1</v>
      </c>
      <c r="L8" s="300"/>
      <c r="M8" s="301"/>
      <c r="O8" s="685" t="s">
        <v>1097</v>
      </c>
      <c r="P8" s="686"/>
      <c r="Q8" s="682" t="s">
        <v>1194</v>
      </c>
      <c r="R8" s="687"/>
      <c r="S8" s="687"/>
      <c r="T8" s="687"/>
      <c r="U8" s="683"/>
      <c r="V8" s="300"/>
      <c r="W8" s="682" t="s">
        <v>1098</v>
      </c>
      <c r="X8" s="683"/>
      <c r="Y8" s="307">
        <v>1</v>
      </c>
      <c r="Z8" s="300"/>
      <c r="AA8" s="301"/>
    </row>
    <row r="9" spans="1:27" ht="15.75" thickBot="1" x14ac:dyDescent="0.3">
      <c r="A9" s="299"/>
      <c r="B9" s="300"/>
      <c r="C9" s="300"/>
      <c r="D9" s="300"/>
      <c r="E9" s="300"/>
      <c r="F9" s="300"/>
      <c r="G9" s="300"/>
      <c r="H9" s="300"/>
      <c r="I9" s="300"/>
      <c r="J9" s="300"/>
      <c r="K9" s="300"/>
      <c r="L9" s="300"/>
      <c r="M9" s="301"/>
      <c r="O9" s="299"/>
      <c r="P9" s="300"/>
      <c r="Q9" s="300"/>
      <c r="R9" s="300"/>
      <c r="S9" s="300"/>
      <c r="T9" s="300"/>
      <c r="U9" s="300"/>
      <c r="V9" s="300"/>
      <c r="W9" s="300"/>
      <c r="X9" s="300"/>
      <c r="Y9" s="300"/>
      <c r="Z9" s="300"/>
      <c r="AA9" s="301"/>
    </row>
    <row r="10" spans="1:27" ht="15.75" thickBot="1" x14ac:dyDescent="0.3">
      <c r="A10" s="308" t="s">
        <v>1099</v>
      </c>
      <c r="B10" s="688"/>
      <c r="C10" s="689"/>
      <c r="D10" s="689"/>
      <c r="E10" s="689"/>
      <c r="F10" s="690"/>
      <c r="G10" s="312" t="s">
        <v>1100</v>
      </c>
      <c r="H10" s="688"/>
      <c r="I10" s="689"/>
      <c r="J10" s="689"/>
      <c r="K10" s="689"/>
      <c r="L10" s="689"/>
      <c r="M10" s="690"/>
      <c r="O10" s="308" t="s">
        <v>1099</v>
      </c>
      <c r="P10" s="688"/>
      <c r="Q10" s="689"/>
      <c r="R10" s="689"/>
      <c r="S10" s="689"/>
      <c r="T10" s="690"/>
      <c r="U10" s="312" t="s">
        <v>1100</v>
      </c>
      <c r="V10" s="688"/>
      <c r="W10" s="689"/>
      <c r="X10" s="689"/>
      <c r="Y10" s="689"/>
      <c r="Z10" s="689"/>
      <c r="AA10" s="690"/>
    </row>
    <row r="11" spans="1:27" x14ac:dyDescent="0.25">
      <c r="A11" s="299"/>
      <c r="B11" s="300"/>
      <c r="C11" s="300"/>
      <c r="D11" s="300"/>
      <c r="E11" s="300"/>
      <c r="F11" s="300"/>
      <c r="G11" s="300"/>
      <c r="H11" s="300"/>
      <c r="I11" s="300"/>
      <c r="J11" s="300"/>
      <c r="K11" s="300"/>
      <c r="L11" s="300"/>
      <c r="M11" s="301"/>
      <c r="O11" s="299"/>
      <c r="P11" s="300"/>
      <c r="Q11" s="300"/>
      <c r="R11" s="300"/>
      <c r="S11" s="300"/>
      <c r="T11" s="300"/>
      <c r="U11" s="300"/>
      <c r="V11" s="300"/>
      <c r="W11" s="300"/>
      <c r="X11" s="300"/>
      <c r="Y11" s="300"/>
      <c r="Z11" s="300"/>
      <c r="AA11" s="301"/>
    </row>
    <row r="12" spans="1:27" x14ac:dyDescent="0.25">
      <c r="A12" s="691" t="s">
        <v>1086</v>
      </c>
      <c r="B12" s="692"/>
      <c r="C12" s="692"/>
      <c r="D12" s="692"/>
      <c r="E12" s="692"/>
      <c r="F12" s="692"/>
      <c r="G12" s="693" t="s">
        <v>95</v>
      </c>
      <c r="H12" s="694"/>
      <c r="I12" s="694"/>
      <c r="J12" s="694"/>
      <c r="K12" s="695" t="s">
        <v>114</v>
      </c>
      <c r="L12" s="695"/>
      <c r="M12" s="696"/>
      <c r="O12" s="691" t="s">
        <v>1086</v>
      </c>
      <c r="P12" s="692"/>
      <c r="Q12" s="692"/>
      <c r="R12" s="692"/>
      <c r="S12" s="692"/>
      <c r="T12" s="692"/>
      <c r="U12" s="693" t="s">
        <v>95</v>
      </c>
      <c r="V12" s="694"/>
      <c r="W12" s="694"/>
      <c r="X12" s="694"/>
      <c r="Y12" s="695" t="s">
        <v>114</v>
      </c>
      <c r="Z12" s="695"/>
      <c r="AA12" s="696"/>
    </row>
    <row r="13" spans="1:27" s="285" customFormat="1" ht="33.75" customHeight="1" x14ac:dyDescent="0.25">
      <c r="A13" s="338" t="s">
        <v>284</v>
      </c>
      <c r="B13" s="339" t="s">
        <v>1086</v>
      </c>
      <c r="C13" s="339" t="s">
        <v>1116</v>
      </c>
      <c r="D13" s="339" t="s">
        <v>1115</v>
      </c>
      <c r="E13" s="339" t="s">
        <v>1101</v>
      </c>
      <c r="F13" s="339" t="s">
        <v>286</v>
      </c>
      <c r="G13" s="339" t="s">
        <v>1102</v>
      </c>
      <c r="H13" s="339" t="s">
        <v>1117</v>
      </c>
      <c r="I13" s="339" t="s">
        <v>116</v>
      </c>
      <c r="J13" s="339" t="s">
        <v>286</v>
      </c>
      <c r="K13" s="339" t="s">
        <v>1103</v>
      </c>
      <c r="L13" s="339" t="s">
        <v>1104</v>
      </c>
      <c r="M13" s="340" t="s">
        <v>150</v>
      </c>
      <c r="O13" s="338" t="s">
        <v>284</v>
      </c>
      <c r="P13" s="339" t="s">
        <v>1086</v>
      </c>
      <c r="Q13" s="339" t="s">
        <v>1116</v>
      </c>
      <c r="R13" s="339" t="s">
        <v>1115</v>
      </c>
      <c r="S13" s="339" t="s">
        <v>1101</v>
      </c>
      <c r="T13" s="339" t="s">
        <v>286</v>
      </c>
      <c r="U13" s="339" t="s">
        <v>1102</v>
      </c>
      <c r="V13" s="339" t="s">
        <v>1117</v>
      </c>
      <c r="W13" s="339" t="s">
        <v>116</v>
      </c>
      <c r="X13" s="339" t="s">
        <v>286</v>
      </c>
      <c r="Y13" s="339" t="s">
        <v>1103</v>
      </c>
      <c r="Z13" s="339" t="s">
        <v>1104</v>
      </c>
      <c r="AA13" s="340" t="s">
        <v>150</v>
      </c>
    </row>
    <row r="14" spans="1:27" x14ac:dyDescent="0.25">
      <c r="A14" s="463">
        <v>4059</v>
      </c>
      <c r="B14" s="463" t="s">
        <v>1192</v>
      </c>
      <c r="C14" s="315">
        <f>+D14*$K$8</f>
        <v>7</v>
      </c>
      <c r="D14" s="315">
        <v>7</v>
      </c>
      <c r="E14" s="315">
        <f>+'SISTEMAS DE ALUMINIO'!D68</f>
        <v>7500</v>
      </c>
      <c r="F14" s="473">
        <f>E14*C14</f>
        <v>52500</v>
      </c>
      <c r="G14" s="315">
        <f>+H14*K8</f>
        <v>6</v>
      </c>
      <c r="H14" s="315">
        <v>6</v>
      </c>
      <c r="I14" s="315">
        <f>+MOD_ALUMINIO_!P23</f>
        <v>7489.779293851162</v>
      </c>
      <c r="J14" s="315">
        <f>+I14*G14</f>
        <v>44938.67576310697</v>
      </c>
      <c r="K14" s="315">
        <f>'COSTOS INDIRECTOS DE FABRICACIO'!$D$62+'COSTOS INDIRECTOS DE FABRICACIO'!$D$63</f>
        <v>0.63714028529159372</v>
      </c>
      <c r="L14" s="315">
        <f>+F25+J25</f>
        <v>447005.34242977359</v>
      </c>
      <c r="M14" s="316">
        <f>+L14*K14</f>
        <v>284805.11140257248</v>
      </c>
      <c r="O14" s="463">
        <f>+'SISTEMAS DE ALUMINIO'!A68</f>
        <v>4059</v>
      </c>
      <c r="P14" s="463" t="str">
        <f>+'SISTEMAS DE ALUMINIO'!B68</f>
        <v>CANAL EN U 78 MARCO DE PUERTA</v>
      </c>
      <c r="Q14" s="315">
        <f>+R14*$K$8</f>
        <v>7</v>
      </c>
      <c r="R14" s="315">
        <v>7</v>
      </c>
      <c r="S14" s="315">
        <f>+'SISTEMAS DE ALUMINIO'!D68</f>
        <v>7500</v>
      </c>
      <c r="T14" s="473">
        <f>S14*Q14</f>
        <v>52500</v>
      </c>
      <c r="U14" s="315">
        <f>+V14*Y8</f>
        <v>5</v>
      </c>
      <c r="V14" s="315">
        <v>5</v>
      </c>
      <c r="W14" s="315">
        <f>+MOD_ALUMINIO_!P23</f>
        <v>7489.779293851162</v>
      </c>
      <c r="X14" s="315">
        <f>+W14*U14</f>
        <v>37448.896469255807</v>
      </c>
      <c r="Y14" s="315">
        <f>'COSTOS INDIRECTOS DE FABRICACIO'!$D$62+'COSTOS INDIRECTOS DE FABRICACIO'!$D$63</f>
        <v>0.63714028529159372</v>
      </c>
      <c r="Z14" s="315">
        <f>+T25+X25</f>
        <v>427515.56313592242</v>
      </c>
      <c r="AA14" s="316">
        <f>+Z14*Y14</f>
        <v>272387.38786301797</v>
      </c>
    </row>
    <row r="15" spans="1:27" x14ac:dyDescent="0.25">
      <c r="A15" s="467">
        <f>+'SISTEMAS DE ALUMINIO'!A84</f>
        <v>4074</v>
      </c>
      <c r="B15" s="468" t="str">
        <f>+'SISTEMAS DE ALUMINIO'!B84</f>
        <v>TUBULAR 103 3X1 1/2</v>
      </c>
      <c r="C15" s="315">
        <f t="shared" ref="C15:C23" si="0">+D15*$K$8</f>
        <v>7</v>
      </c>
      <c r="D15" s="315">
        <v>7</v>
      </c>
      <c r="E15" s="315">
        <f>+'SISTEMAS DE ALUMINIO'!D84</f>
        <v>13500</v>
      </c>
      <c r="F15" s="473">
        <f>E15*C15</f>
        <v>94500</v>
      </c>
      <c r="G15" s="315"/>
      <c r="H15" s="315"/>
      <c r="I15" s="315"/>
      <c r="J15" s="315"/>
      <c r="K15" s="315"/>
      <c r="L15" s="315"/>
      <c r="M15" s="316"/>
      <c r="O15" s="467">
        <f>+'SISTEMAS DE ALUMINIO'!A84</f>
        <v>4074</v>
      </c>
      <c r="P15" s="467" t="str">
        <f>+'SISTEMAS DE ALUMINIO'!B84</f>
        <v>TUBULAR 103 3X1 1/2</v>
      </c>
      <c r="Q15" s="315">
        <f t="shared" ref="Q15:Q23" si="1">+R15*$K$8</f>
        <v>7</v>
      </c>
      <c r="R15" s="315">
        <v>7</v>
      </c>
      <c r="S15" s="315">
        <f>+'SISTEMAS DE ALUMINIO'!D84</f>
        <v>13500</v>
      </c>
      <c r="T15" s="473">
        <f>S15*Q15</f>
        <v>94500</v>
      </c>
      <c r="U15" s="315"/>
      <c r="V15" s="315"/>
      <c r="W15" s="315"/>
      <c r="X15" s="315"/>
      <c r="Y15" s="315"/>
      <c r="Z15" s="315"/>
      <c r="AA15" s="316"/>
    </row>
    <row r="16" spans="1:27" x14ac:dyDescent="0.25">
      <c r="A16" s="463">
        <v>4019</v>
      </c>
      <c r="B16" s="463" t="s">
        <v>948</v>
      </c>
      <c r="C16" s="315">
        <f t="shared" si="0"/>
        <v>7</v>
      </c>
      <c r="D16" s="315">
        <v>7</v>
      </c>
      <c r="E16" s="315">
        <f>+'SISTEMAS DE ALUMINIO'!D23</f>
        <v>3666.6666666666665</v>
      </c>
      <c r="F16" s="473">
        <f>E16*C16</f>
        <v>25666.666666666664</v>
      </c>
      <c r="G16" s="315"/>
      <c r="H16" s="315"/>
      <c r="I16" s="315"/>
      <c r="J16" s="315"/>
      <c r="K16" s="315"/>
      <c r="L16" s="315"/>
      <c r="M16" s="316"/>
      <c r="O16" s="463">
        <f>+'SISTEMAS DE ALUMINIO'!A23</f>
        <v>4019</v>
      </c>
      <c r="P16" s="463" t="str">
        <f>+'SISTEMAS DE ALUMINIO'!B23</f>
        <v>175 ADAPTADOR</v>
      </c>
      <c r="Q16" s="315">
        <f t="shared" si="1"/>
        <v>7</v>
      </c>
      <c r="R16" s="315">
        <v>7</v>
      </c>
      <c r="S16" s="315">
        <f>+'SISTEMAS DE ALUMINIO'!D23</f>
        <v>3666.6666666666665</v>
      </c>
      <c r="T16" s="473">
        <f>S16*Q16</f>
        <v>25666.666666666664</v>
      </c>
      <c r="U16" s="315"/>
      <c r="V16" s="315"/>
      <c r="W16" s="315"/>
      <c r="X16" s="315"/>
      <c r="Y16" s="315"/>
      <c r="Z16" s="315"/>
      <c r="AA16" s="316"/>
    </row>
    <row r="17" spans="1:27" x14ac:dyDescent="0.25">
      <c r="A17" s="463">
        <v>4096</v>
      </c>
      <c r="B17" s="463" t="s">
        <v>1023</v>
      </c>
      <c r="C17" s="315">
        <f t="shared" si="0"/>
        <v>42</v>
      </c>
      <c r="D17" s="315">
        <v>42</v>
      </c>
      <c r="E17" s="315">
        <f>+'SISTEMAS DE ALUMINIO'!D108</f>
        <v>3833.3333333333335</v>
      </c>
      <c r="F17" s="473">
        <f t="shared" ref="F17:F23" si="2">E17*C17</f>
        <v>161000</v>
      </c>
      <c r="G17" s="315"/>
      <c r="H17" s="315"/>
      <c r="I17" s="315"/>
      <c r="J17" s="315"/>
      <c r="K17" s="315"/>
      <c r="L17" s="315"/>
      <c r="M17" s="316"/>
      <c r="O17" s="463">
        <f>+'SISTEMAS DE ALUMINIO'!A108</f>
        <v>4096</v>
      </c>
      <c r="P17" s="463" t="str">
        <f>+'SISTEMAS DE ALUMINIO'!B108</f>
        <v>315 PERSIANA</v>
      </c>
      <c r="Q17" s="315">
        <f t="shared" si="1"/>
        <v>42</v>
      </c>
      <c r="R17" s="315">
        <v>42</v>
      </c>
      <c r="S17" s="315">
        <f>+'SISTEMAS DE ALUMINIO'!D108</f>
        <v>3833.3333333333335</v>
      </c>
      <c r="T17" s="473">
        <f t="shared" ref="T17:T23" si="3">S17*Q17</f>
        <v>161000</v>
      </c>
      <c r="U17" s="315"/>
      <c r="V17" s="315"/>
      <c r="W17" s="315"/>
      <c r="X17" s="315"/>
      <c r="Y17" s="315"/>
      <c r="Z17" s="315"/>
      <c r="AA17" s="316"/>
    </row>
    <row r="18" spans="1:27" x14ac:dyDescent="0.25">
      <c r="A18" s="464">
        <v>3064</v>
      </c>
      <c r="B18" s="464" t="s">
        <v>793</v>
      </c>
      <c r="C18" s="315">
        <f t="shared" si="0"/>
        <v>3</v>
      </c>
      <c r="D18" s="315">
        <v>3</v>
      </c>
      <c r="E18" s="315">
        <v>6000</v>
      </c>
      <c r="F18" s="473">
        <f t="shared" si="2"/>
        <v>18000</v>
      </c>
      <c r="G18" s="315"/>
      <c r="H18" s="315"/>
      <c r="I18" s="315"/>
      <c r="J18" s="315"/>
      <c r="K18" s="315"/>
      <c r="L18" s="315"/>
      <c r="M18" s="316"/>
      <c r="O18" s="464">
        <f>+'ACCESORIOS DE ALUMINIO Y ACERO'!A65</f>
        <v>3064</v>
      </c>
      <c r="P18" s="464" t="str">
        <f>+'ACCESORIOS DE ALUMINIO Y ACERO'!B65</f>
        <v>BISAGRA DOBLE</v>
      </c>
      <c r="Q18" s="315">
        <f t="shared" si="1"/>
        <v>1</v>
      </c>
      <c r="R18" s="315">
        <v>1</v>
      </c>
      <c r="S18" s="315">
        <f>+'ACCESORIOS DE ALUMINIO Y ACERO'!C65</f>
        <v>6000</v>
      </c>
      <c r="T18" s="473">
        <f t="shared" si="3"/>
        <v>6000</v>
      </c>
      <c r="U18" s="315"/>
      <c r="V18" s="315"/>
      <c r="W18" s="315"/>
      <c r="X18" s="315"/>
      <c r="Y18" s="315"/>
      <c r="Z18" s="315"/>
      <c r="AA18" s="316"/>
    </row>
    <row r="19" spans="1:27" x14ac:dyDescent="0.25">
      <c r="A19" s="464">
        <v>3148</v>
      </c>
      <c r="B19" s="464" t="s">
        <v>709</v>
      </c>
      <c r="C19" s="315">
        <f t="shared" si="0"/>
        <v>1</v>
      </c>
      <c r="D19" s="315">
        <v>1</v>
      </c>
      <c r="E19" s="315">
        <v>25000</v>
      </c>
      <c r="F19" s="473">
        <f t="shared" si="2"/>
        <v>25000</v>
      </c>
      <c r="G19" s="315"/>
      <c r="H19" s="315"/>
      <c r="I19" s="315"/>
      <c r="J19" s="315"/>
      <c r="K19" s="315"/>
      <c r="L19" s="315"/>
      <c r="M19" s="316"/>
      <c r="O19" s="464">
        <f>+'ACCESORIOS DE ALUMINIO Y ACERO'!A149</f>
        <v>3148</v>
      </c>
      <c r="P19" s="464" t="str">
        <f>+'ACCESORIOS DE ALUMINIO Y ACERO'!B149</f>
        <v>CHAPA BOLA ALCOBA COLOR MADERA</v>
      </c>
      <c r="Q19" s="315">
        <f t="shared" si="1"/>
        <v>1</v>
      </c>
      <c r="R19" s="315">
        <v>1</v>
      </c>
      <c r="S19" s="315">
        <f>+'ACCESORIOS DE ALUMINIO Y ACERO'!C149</f>
        <v>25000</v>
      </c>
      <c r="T19" s="473">
        <f t="shared" si="3"/>
        <v>25000</v>
      </c>
      <c r="U19" s="315"/>
      <c r="V19" s="315"/>
      <c r="W19" s="315"/>
      <c r="X19" s="315"/>
      <c r="Y19" s="315"/>
      <c r="Z19" s="315"/>
      <c r="AA19" s="316"/>
    </row>
    <row r="20" spans="1:27" x14ac:dyDescent="0.25">
      <c r="A20" s="469">
        <v>3282</v>
      </c>
      <c r="B20" s="471" t="s">
        <v>1137</v>
      </c>
      <c r="C20" s="315">
        <f t="shared" si="0"/>
        <v>1</v>
      </c>
      <c r="D20" s="315">
        <v>1</v>
      </c>
      <c r="E20" s="315">
        <v>5000</v>
      </c>
      <c r="F20" s="473">
        <f t="shared" si="2"/>
        <v>5000</v>
      </c>
      <c r="G20" s="315"/>
      <c r="H20" s="315"/>
      <c r="I20" s="315"/>
      <c r="J20" s="315"/>
      <c r="K20" s="315"/>
      <c r="L20" s="315"/>
      <c r="M20" s="316"/>
      <c r="O20" s="469">
        <f>+'ACCESORIOS DE ALUMINIO Y ACERO'!A283</f>
        <v>3282</v>
      </c>
      <c r="P20" s="469" t="str">
        <f>+'ACCESORIOS DE ALUMINIO Y ACERO'!B283</f>
        <v>TENSOR</v>
      </c>
      <c r="Q20" s="315">
        <f t="shared" si="1"/>
        <v>1</v>
      </c>
      <c r="R20" s="315">
        <v>1</v>
      </c>
      <c r="S20" s="480">
        <f>+'ACCESORIOS DE ALUMINIO Y ACERO'!C283</f>
        <v>5000</v>
      </c>
      <c r="T20" s="473">
        <f t="shared" si="3"/>
        <v>5000</v>
      </c>
      <c r="U20" s="315"/>
      <c r="V20" s="315"/>
      <c r="W20" s="315"/>
      <c r="X20" s="315"/>
      <c r="Y20" s="315"/>
      <c r="Z20" s="315"/>
      <c r="AA20" s="316"/>
    </row>
    <row r="21" spans="1:27" x14ac:dyDescent="0.25">
      <c r="A21" s="464">
        <v>3097</v>
      </c>
      <c r="B21" s="470" t="s">
        <v>760</v>
      </c>
      <c r="C21" s="315">
        <f t="shared" si="0"/>
        <v>1</v>
      </c>
      <c r="D21" s="315">
        <v>1</v>
      </c>
      <c r="E21" s="315">
        <v>7000</v>
      </c>
      <c r="F21" s="473">
        <f t="shared" si="2"/>
        <v>7000</v>
      </c>
      <c r="G21" s="315"/>
      <c r="H21" s="315"/>
      <c r="I21" s="315"/>
      <c r="J21" s="315"/>
      <c r="K21" s="315"/>
      <c r="L21" s="315"/>
      <c r="M21" s="316"/>
      <c r="O21" s="464">
        <f>+'ACCESORIOS DE ALUMINIO Y ACERO'!A98</f>
        <v>3097</v>
      </c>
      <c r="P21" s="464" t="str">
        <f>+'ACCESORIOS DE ALUMINIO Y ACERO'!B98</f>
        <v>PASADOR DE LUJO GRANDE BLANCO</v>
      </c>
      <c r="Q21" s="315">
        <f t="shared" si="1"/>
        <v>1</v>
      </c>
      <c r="R21" s="315">
        <v>1</v>
      </c>
      <c r="S21" s="315">
        <f>+'ACCESORIOS DE ALUMINIO Y ACERO'!C98</f>
        <v>7000</v>
      </c>
      <c r="T21" s="473">
        <f t="shared" si="3"/>
        <v>7000</v>
      </c>
      <c r="U21" s="315"/>
      <c r="V21" s="315"/>
      <c r="W21" s="315"/>
      <c r="X21" s="315"/>
      <c r="Y21" s="315"/>
      <c r="Z21" s="315"/>
      <c r="AA21" s="316"/>
    </row>
    <row r="22" spans="1:27" x14ac:dyDescent="0.25">
      <c r="A22" s="464">
        <v>3283</v>
      </c>
      <c r="B22" s="472" t="s">
        <v>1193</v>
      </c>
      <c r="C22" s="315">
        <f t="shared" si="0"/>
        <v>8</v>
      </c>
      <c r="D22" s="318">
        <v>8</v>
      </c>
      <c r="E22" s="318">
        <f>+'ACCESORIOS DE ALUMINIO Y ACERO'!C284</f>
        <v>800</v>
      </c>
      <c r="F22" s="473">
        <f t="shared" si="2"/>
        <v>6400</v>
      </c>
      <c r="G22" s="318"/>
      <c r="H22" s="318"/>
      <c r="I22" s="318"/>
      <c r="J22" s="318"/>
      <c r="K22" s="318"/>
      <c r="L22" s="318"/>
      <c r="M22" s="319"/>
      <c r="O22" s="464">
        <f>+'ACCESORIOS DE ALUMINIO Y ACERO'!A284</f>
        <v>3283</v>
      </c>
      <c r="P22" s="464" t="str">
        <f>+'ACCESORIOS DE ALUMINIO Y ACERO'!B284</f>
        <v xml:space="preserve">CHAPETAS </v>
      </c>
      <c r="Q22" s="315">
        <f t="shared" si="1"/>
        <v>8</v>
      </c>
      <c r="R22" s="318">
        <v>8</v>
      </c>
      <c r="S22" s="318">
        <f>+'ACCESORIOS DE ALUMINIO Y ACERO'!C284</f>
        <v>800</v>
      </c>
      <c r="T22" s="473">
        <f t="shared" si="3"/>
        <v>6400</v>
      </c>
      <c r="U22" s="318"/>
      <c r="V22" s="318"/>
      <c r="W22" s="318"/>
      <c r="X22" s="318"/>
      <c r="Y22" s="318"/>
      <c r="Z22" s="318"/>
      <c r="AA22" s="319"/>
    </row>
    <row r="23" spans="1:27" x14ac:dyDescent="0.25">
      <c r="A23" s="464">
        <v>3229</v>
      </c>
      <c r="B23" s="464" t="s">
        <v>626</v>
      </c>
      <c r="C23" s="315">
        <f t="shared" si="0"/>
        <v>200</v>
      </c>
      <c r="D23" s="318">
        <v>200</v>
      </c>
      <c r="E23" s="318">
        <v>35</v>
      </c>
      <c r="F23" s="473">
        <f t="shared" si="2"/>
        <v>7000</v>
      </c>
      <c r="G23" s="318"/>
      <c r="H23" s="318"/>
      <c r="I23" s="318"/>
      <c r="J23" s="318"/>
      <c r="K23" s="318"/>
      <c r="L23" s="318"/>
      <c r="M23" s="319"/>
      <c r="O23" s="464">
        <f>+'ACCESORIOS DE ALUMINIO Y ACERO'!A230</f>
        <v>3229</v>
      </c>
      <c r="P23" s="464" t="str">
        <f>+'ACCESORIOS DE ALUMINIO Y ACERO'!B230</f>
        <v>TORNILLOS 8X3 C.P CRUDOS</v>
      </c>
      <c r="Q23" s="315">
        <f t="shared" si="1"/>
        <v>200</v>
      </c>
      <c r="R23" s="318">
        <v>200</v>
      </c>
      <c r="S23" s="318">
        <f>+'ACCESORIOS DE ALUMINIO Y ACERO'!C230</f>
        <v>35</v>
      </c>
      <c r="T23" s="473">
        <f t="shared" si="3"/>
        <v>7000</v>
      </c>
      <c r="U23" s="318"/>
      <c r="V23" s="318"/>
      <c r="W23" s="318"/>
      <c r="X23" s="318"/>
      <c r="Y23" s="318"/>
      <c r="Z23" s="318"/>
      <c r="AA23" s="319"/>
    </row>
    <row r="24" spans="1:27" ht="15.75" thickBot="1" x14ac:dyDescent="0.3">
      <c r="A24" s="317"/>
      <c r="B24" s="318"/>
      <c r="C24" s="318"/>
      <c r="D24" s="318"/>
      <c r="E24" s="318"/>
      <c r="F24" s="318"/>
      <c r="G24" s="318"/>
      <c r="H24" s="318"/>
      <c r="I24" s="318"/>
      <c r="J24" s="318"/>
      <c r="K24" s="318"/>
      <c r="L24" s="318"/>
      <c r="M24" s="319"/>
      <c r="O24" s="317"/>
      <c r="P24" s="318"/>
      <c r="Q24" s="318"/>
      <c r="R24" s="318"/>
      <c r="S24" s="318"/>
      <c r="T24" s="318"/>
      <c r="U24" s="318"/>
      <c r="V24" s="318"/>
      <c r="W24" s="318"/>
      <c r="X24" s="318"/>
      <c r="Y24" s="318"/>
      <c r="Z24" s="318"/>
      <c r="AA24" s="319"/>
    </row>
    <row r="25" spans="1:27" ht="15.75" thickBot="1" x14ac:dyDescent="0.3">
      <c r="A25" s="682" t="s">
        <v>150</v>
      </c>
      <c r="B25" s="687"/>
      <c r="C25" s="474"/>
      <c r="D25" s="475"/>
      <c r="E25" s="475"/>
      <c r="F25" s="476">
        <f>+SUM(F14:F23)</f>
        <v>402066.66666666663</v>
      </c>
      <c r="G25" s="465" t="s">
        <v>150</v>
      </c>
      <c r="H25" s="320"/>
      <c r="I25" s="320"/>
      <c r="J25" s="481">
        <f>+SUM(J14)</f>
        <v>44938.67576310697</v>
      </c>
      <c r="K25" s="682" t="s">
        <v>150</v>
      </c>
      <c r="L25" s="683"/>
      <c r="M25" s="312">
        <f>+SUM(M14:M21)</f>
        <v>284805.11140257248</v>
      </c>
      <c r="O25" s="682" t="s">
        <v>150</v>
      </c>
      <c r="P25" s="687"/>
      <c r="Q25" s="474"/>
      <c r="R25" s="475"/>
      <c r="S25" s="475"/>
      <c r="T25" s="476">
        <f>+SUM(T14:T23)</f>
        <v>390066.66666666663</v>
      </c>
      <c r="U25" s="465" t="s">
        <v>150</v>
      </c>
      <c r="V25" s="320"/>
      <c r="W25" s="320"/>
      <c r="X25" s="481">
        <f>+SUM(X14)</f>
        <v>37448.896469255807</v>
      </c>
      <c r="Y25" s="682" t="s">
        <v>150</v>
      </c>
      <c r="Z25" s="683"/>
      <c r="AA25" s="312">
        <f>+SUM(AA14:AA21)</f>
        <v>272387.38786301797</v>
      </c>
    </row>
    <row r="26" spans="1:27" ht="15.75" thickBot="1" x14ac:dyDescent="0.3">
      <c r="A26" s="321"/>
      <c r="B26" s="322"/>
      <c r="C26" s="322"/>
      <c r="D26" s="322"/>
      <c r="E26" s="322"/>
      <c r="F26" s="322"/>
      <c r="G26" s="322"/>
      <c r="H26" s="322"/>
      <c r="I26" s="322"/>
      <c r="J26" s="322"/>
      <c r="K26" s="322"/>
      <c r="L26" s="322"/>
      <c r="M26" s="322"/>
      <c r="O26" s="321"/>
      <c r="P26" s="322"/>
      <c r="Q26" s="322"/>
      <c r="R26" s="322"/>
      <c r="S26" s="322"/>
      <c r="T26" s="322"/>
      <c r="U26" s="322"/>
      <c r="V26" s="322"/>
      <c r="W26" s="322"/>
      <c r="X26" s="322"/>
      <c r="Y26" s="322"/>
      <c r="Z26" s="322"/>
      <c r="AA26" s="322"/>
    </row>
    <row r="27" spans="1:27" ht="15.75" thickBot="1" x14ac:dyDescent="0.3">
      <c r="A27" s="684" t="s">
        <v>1106</v>
      </c>
      <c r="B27" s="680"/>
      <c r="C27" s="680"/>
      <c r="D27" s="680"/>
      <c r="E27" s="680"/>
      <c r="F27" s="680"/>
      <c r="G27" s="680"/>
      <c r="H27" s="680"/>
      <c r="I27" s="680"/>
      <c r="J27" s="680"/>
      <c r="K27" s="680"/>
      <c r="L27" s="680"/>
      <c r="M27" s="681"/>
      <c r="O27" s="684" t="s">
        <v>1106</v>
      </c>
      <c r="P27" s="680"/>
      <c r="Q27" s="680"/>
      <c r="R27" s="680"/>
      <c r="S27" s="680"/>
      <c r="T27" s="680"/>
      <c r="U27" s="680"/>
      <c r="V27" s="680"/>
      <c r="W27" s="680"/>
      <c r="X27" s="680"/>
      <c r="Y27" s="680"/>
      <c r="Z27" s="680"/>
      <c r="AA27" s="681"/>
    </row>
    <row r="28" spans="1:27" x14ac:dyDescent="0.25">
      <c r="A28" s="701" t="s">
        <v>1107</v>
      </c>
      <c r="B28" s="702"/>
      <c r="C28" s="702"/>
      <c r="D28" s="362"/>
      <c r="E28" s="677">
        <f>+F25</f>
        <v>402066.66666666663</v>
      </c>
      <c r="F28" s="678"/>
      <c r="G28" s="325" t="s">
        <v>1105</v>
      </c>
      <c r="H28" s="326"/>
      <c r="I28" s="326"/>
      <c r="J28" s="327"/>
      <c r="K28" s="703" t="s">
        <v>1111</v>
      </c>
      <c r="L28" s="704"/>
      <c r="M28" s="328">
        <f>E28+E29+E30+J28+J29+J30</f>
        <v>686871.77806923911</v>
      </c>
      <c r="O28" s="701" t="s">
        <v>1107</v>
      </c>
      <c r="P28" s="702"/>
      <c r="Q28" s="702"/>
      <c r="R28" s="478"/>
      <c r="S28" s="677">
        <f>+T25</f>
        <v>390066.66666666663</v>
      </c>
      <c r="T28" s="678"/>
      <c r="U28" s="325" t="s">
        <v>1105</v>
      </c>
      <c r="V28" s="326"/>
      <c r="W28" s="326"/>
      <c r="X28" s="327"/>
      <c r="Y28" s="703" t="s">
        <v>1111</v>
      </c>
      <c r="Z28" s="704"/>
      <c r="AA28" s="328">
        <f>S28+S29+S30+X28+X29+X30</f>
        <v>699902.95099894039</v>
      </c>
    </row>
    <row r="29" spans="1:27" x14ac:dyDescent="0.25">
      <c r="A29" s="705" t="s">
        <v>256</v>
      </c>
      <c r="B29" s="706"/>
      <c r="C29" s="706"/>
      <c r="D29" s="363"/>
      <c r="E29" s="670">
        <f>+I25</f>
        <v>0</v>
      </c>
      <c r="F29" s="671"/>
      <c r="G29" s="331" t="s">
        <v>1109</v>
      </c>
      <c r="H29" s="332"/>
      <c r="I29" s="332"/>
      <c r="J29" s="300"/>
      <c r="K29" s="707" t="s">
        <v>199</v>
      </c>
      <c r="L29" s="708"/>
      <c r="M29" s="301">
        <f>+M28/1</f>
        <v>686871.77806923911</v>
      </c>
      <c r="O29" s="705" t="s">
        <v>256</v>
      </c>
      <c r="P29" s="706"/>
      <c r="Q29" s="706"/>
      <c r="R29" s="479"/>
      <c r="S29" s="670">
        <f>+X25</f>
        <v>37448.896469255807</v>
      </c>
      <c r="T29" s="671"/>
      <c r="U29" s="331" t="s">
        <v>1109</v>
      </c>
      <c r="V29" s="332"/>
      <c r="W29" s="332"/>
      <c r="X29" s="300"/>
      <c r="Y29" s="707" t="s">
        <v>199</v>
      </c>
      <c r="Z29" s="708"/>
      <c r="AA29" s="301">
        <f>+AA28/1</f>
        <v>699902.95099894039</v>
      </c>
    </row>
    <row r="30" spans="1:27" ht="15.75" thickBot="1" x14ac:dyDescent="0.3">
      <c r="A30" s="697" t="s">
        <v>1108</v>
      </c>
      <c r="B30" s="698"/>
      <c r="C30" s="698"/>
      <c r="D30" s="361"/>
      <c r="E30" s="675">
        <f>+M25</f>
        <v>284805.11140257248</v>
      </c>
      <c r="F30" s="676"/>
      <c r="G30" s="335" t="s">
        <v>1110</v>
      </c>
      <c r="H30" s="336"/>
      <c r="I30" s="336"/>
      <c r="J30" s="337"/>
      <c r="K30" s="331" t="s">
        <v>1112</v>
      </c>
      <c r="L30" s="332">
        <v>0.25</v>
      </c>
      <c r="M30" s="301">
        <f>+M29*L30</f>
        <v>171717.94451730978</v>
      </c>
      <c r="O30" s="697" t="s">
        <v>1108</v>
      </c>
      <c r="P30" s="698"/>
      <c r="Q30" s="698"/>
      <c r="R30" s="477"/>
      <c r="S30" s="675">
        <f>+AA25</f>
        <v>272387.38786301797</v>
      </c>
      <c r="T30" s="676"/>
      <c r="U30" s="335" t="s">
        <v>1110</v>
      </c>
      <c r="V30" s="336"/>
      <c r="W30" s="336"/>
      <c r="X30" s="337"/>
      <c r="Y30" s="331" t="s">
        <v>1112</v>
      </c>
      <c r="Z30" s="332">
        <v>0.25</v>
      </c>
      <c r="AA30" s="301">
        <f>+AA29*Z30</f>
        <v>174975.7377497351</v>
      </c>
    </row>
    <row r="31" spans="1:27" ht="15.75" thickBot="1" x14ac:dyDescent="0.3">
      <c r="A31" s="321"/>
      <c r="B31" s="322"/>
      <c r="C31" s="322"/>
      <c r="D31" s="322"/>
      <c r="E31" s="322"/>
      <c r="F31" s="322"/>
      <c r="G31" s="322"/>
      <c r="H31" s="322"/>
      <c r="I31" s="322"/>
      <c r="J31" s="322"/>
      <c r="K31" s="699" t="s">
        <v>1113</v>
      </c>
      <c r="L31" s="700"/>
      <c r="M31" s="347">
        <f>+M30+M29</f>
        <v>858589.72258654889</v>
      </c>
      <c r="O31" s="321"/>
      <c r="P31" s="322"/>
      <c r="Q31" s="322"/>
      <c r="R31" s="322"/>
      <c r="S31" s="322"/>
      <c r="T31" s="322"/>
      <c r="U31" s="322"/>
      <c r="V31" s="322"/>
      <c r="W31" s="322"/>
      <c r="X31" s="322"/>
      <c r="Y31" s="699" t="s">
        <v>1113</v>
      </c>
      <c r="Z31" s="700"/>
      <c r="AA31" s="347">
        <f>+AA30+AA29</f>
        <v>874878.68874867551</v>
      </c>
    </row>
    <row r="32" spans="1:27" x14ac:dyDescent="0.25">
      <c r="B32" s="291"/>
      <c r="AA32" s="485"/>
    </row>
    <row r="33" spans="1:13" x14ac:dyDescent="0.25">
      <c r="A33" s="282"/>
      <c r="M33" s="282">
        <v>590000</v>
      </c>
    </row>
    <row r="34" spans="1:13" x14ac:dyDescent="0.25">
      <c r="A34" s="282"/>
    </row>
    <row r="35" spans="1:13" x14ac:dyDescent="0.25">
      <c r="A35" s="282"/>
    </row>
    <row r="36" spans="1:13" x14ac:dyDescent="0.25">
      <c r="A36" s="282"/>
    </row>
    <row r="37" spans="1:13" x14ac:dyDescent="0.25">
      <c r="A37" s="282"/>
    </row>
    <row r="38" spans="1:13" x14ac:dyDescent="0.25">
      <c r="A38" s="282"/>
    </row>
    <row r="39" spans="1:13" x14ac:dyDescent="0.25">
      <c r="A39" s="282"/>
    </row>
    <row r="40" spans="1:13" x14ac:dyDescent="0.25">
      <c r="A40" s="282"/>
    </row>
    <row r="41" spans="1:13" x14ac:dyDescent="0.25">
      <c r="A41" s="282"/>
    </row>
    <row r="42" spans="1:13" x14ac:dyDescent="0.25">
      <c r="A42" s="282"/>
    </row>
    <row r="43" spans="1:13" x14ac:dyDescent="0.25">
      <c r="A43" s="282"/>
    </row>
    <row r="44" spans="1:13" x14ac:dyDescent="0.25">
      <c r="A44" s="282"/>
    </row>
    <row r="45" spans="1:13" x14ac:dyDescent="0.25">
      <c r="A45" s="282"/>
    </row>
    <row r="46" spans="1:13" x14ac:dyDescent="0.25">
      <c r="A46" s="282"/>
    </row>
    <row r="47" spans="1:13" x14ac:dyDescent="0.25">
      <c r="A47" s="282"/>
    </row>
    <row r="48" spans="1:13" x14ac:dyDescent="0.25">
      <c r="A48" s="282"/>
    </row>
    <row r="49" spans="1:1" x14ac:dyDescent="0.25">
      <c r="A49" s="282"/>
    </row>
    <row r="50" spans="1:1" x14ac:dyDescent="0.25">
      <c r="A50" s="282"/>
    </row>
    <row r="51" spans="1:1" x14ac:dyDescent="0.25">
      <c r="A51" s="282"/>
    </row>
    <row r="52" spans="1:1" x14ac:dyDescent="0.25">
      <c r="A52" s="282"/>
    </row>
    <row r="53" spans="1:1" x14ac:dyDescent="0.25">
      <c r="A53" s="282"/>
    </row>
    <row r="54" spans="1:1" x14ac:dyDescent="0.25">
      <c r="A54" s="282"/>
    </row>
    <row r="55" spans="1:1" x14ac:dyDescent="0.25">
      <c r="A55" s="282"/>
    </row>
    <row r="56" spans="1:1" x14ac:dyDescent="0.25">
      <c r="A56" s="282"/>
    </row>
    <row r="57" spans="1:1" x14ac:dyDescent="0.25">
      <c r="A57" s="282"/>
    </row>
    <row r="58" spans="1:1" x14ac:dyDescent="0.25">
      <c r="A58" s="282"/>
    </row>
    <row r="59" spans="1:1" x14ac:dyDescent="0.25">
      <c r="A59" s="282"/>
    </row>
    <row r="60" spans="1:1" x14ac:dyDescent="0.25">
      <c r="A60" s="282"/>
    </row>
    <row r="61" spans="1:1" x14ac:dyDescent="0.25">
      <c r="A61" s="282"/>
    </row>
    <row r="62" spans="1:1" x14ac:dyDescent="0.25">
      <c r="A62" s="282"/>
    </row>
    <row r="63" spans="1:1" x14ac:dyDescent="0.25">
      <c r="A63" s="282"/>
    </row>
    <row r="64" spans="1:1" x14ac:dyDescent="0.25">
      <c r="A64" s="282"/>
    </row>
    <row r="65" spans="1:1" x14ac:dyDescent="0.25">
      <c r="A65" s="282"/>
    </row>
  </sheetData>
  <mergeCells count="48">
    <mergeCell ref="Y31:Z31"/>
    <mergeCell ref="O29:Q29"/>
    <mergeCell ref="S29:T29"/>
    <mergeCell ref="Y29:Z29"/>
    <mergeCell ref="O30:Q30"/>
    <mergeCell ref="S30:T30"/>
    <mergeCell ref="O25:P25"/>
    <mergeCell ref="Y25:Z25"/>
    <mergeCell ref="O27:AA27"/>
    <mergeCell ref="O28:Q28"/>
    <mergeCell ref="S28:T28"/>
    <mergeCell ref="Y28:Z28"/>
    <mergeCell ref="P10:T10"/>
    <mergeCell ref="V10:AA10"/>
    <mergeCell ref="O12:T12"/>
    <mergeCell ref="U12:X12"/>
    <mergeCell ref="Y12:AA12"/>
    <mergeCell ref="O1:AA1"/>
    <mergeCell ref="O2:AA2"/>
    <mergeCell ref="P4:U4"/>
    <mergeCell ref="P5:Q5"/>
    <mergeCell ref="O8:P8"/>
    <mergeCell ref="Q8:U8"/>
    <mergeCell ref="W8:X8"/>
    <mergeCell ref="A2:M2"/>
    <mergeCell ref="A8:B8"/>
    <mergeCell ref="B10:F10"/>
    <mergeCell ref="H10:M10"/>
    <mergeCell ref="I8:J8"/>
    <mergeCell ref="B4:G4"/>
    <mergeCell ref="B5:C5"/>
    <mergeCell ref="C8:G8"/>
    <mergeCell ref="K28:L28"/>
    <mergeCell ref="K29:L29"/>
    <mergeCell ref="K31:L31"/>
    <mergeCell ref="A1:M1"/>
    <mergeCell ref="E30:F30"/>
    <mergeCell ref="A27:M27"/>
    <mergeCell ref="A28:C28"/>
    <mergeCell ref="E28:F28"/>
    <mergeCell ref="A29:C29"/>
    <mergeCell ref="E29:F29"/>
    <mergeCell ref="A30:C30"/>
    <mergeCell ref="A12:F12"/>
    <mergeCell ref="G12:J12"/>
    <mergeCell ref="K12:M12"/>
    <mergeCell ref="A25:B25"/>
    <mergeCell ref="K25:L2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C1:I20"/>
  <sheetViews>
    <sheetView topLeftCell="B1" workbookViewId="0">
      <selection activeCell="C1" sqref="C1"/>
    </sheetView>
  </sheetViews>
  <sheetFormatPr baseColWidth="10" defaultRowHeight="15" x14ac:dyDescent="0.25"/>
  <cols>
    <col min="1" max="3" width="11.42578125" style="356" customWidth="1"/>
    <col min="4" max="4" width="17" style="356" customWidth="1"/>
    <col min="5" max="5" width="18.5703125" style="356" customWidth="1"/>
    <col min="6" max="6" width="17.42578125" style="356" customWidth="1"/>
    <col min="7" max="7" width="23" style="356" customWidth="1"/>
    <col min="8" max="8" width="15.140625" style="356" bestFit="1" customWidth="1"/>
    <col min="9" max="9" width="11.42578125" style="356" customWidth="1"/>
    <col min="10" max="16384" width="11.42578125" style="356"/>
  </cols>
  <sheetData>
    <row r="1" spans="3:9" ht="15.75" thickBot="1" x14ac:dyDescent="0.3"/>
    <row r="2" spans="3:9" ht="15.75" customHeight="1" thickBot="1" x14ac:dyDescent="0.3">
      <c r="D2" s="713" t="s">
        <v>1195</v>
      </c>
      <c r="E2" s="714"/>
      <c r="F2" s="714"/>
      <c r="G2" s="715"/>
      <c r="H2" s="358"/>
      <c r="I2" s="358"/>
    </row>
    <row r="3" spans="3:9" ht="15.75" thickBot="1" x14ac:dyDescent="0.3">
      <c r="C3" s="364"/>
      <c r="D3" s="482"/>
      <c r="E3" s="483"/>
      <c r="F3" s="483"/>
      <c r="G3" s="484"/>
      <c r="H3" s="358"/>
      <c r="I3" s="358"/>
    </row>
    <row r="4" spans="3:9" ht="33.75" customHeight="1" thickBot="1" x14ac:dyDescent="0.3">
      <c r="C4" s="716"/>
      <c r="D4" s="389" t="s">
        <v>1138</v>
      </c>
      <c r="E4" s="709" t="s">
        <v>1139</v>
      </c>
      <c r="F4" s="710"/>
      <c r="G4" s="390" t="s">
        <v>1140</v>
      </c>
      <c r="H4" s="358"/>
      <c r="I4" s="358"/>
    </row>
    <row r="5" spans="3:9" x14ac:dyDescent="0.25">
      <c r="C5" s="716"/>
      <c r="D5" s="711" t="s">
        <v>88</v>
      </c>
      <c r="E5" s="386" t="s">
        <v>1141</v>
      </c>
      <c r="F5" s="387" t="s">
        <v>1147</v>
      </c>
      <c r="G5" s="388" t="s">
        <v>1142</v>
      </c>
      <c r="H5" s="365"/>
      <c r="I5" s="358"/>
    </row>
    <row r="6" spans="3:9" x14ac:dyDescent="0.25">
      <c r="C6" s="366"/>
      <c r="D6" s="712"/>
      <c r="E6" s="379">
        <f>+'PRUEBA PILOTO COTIZADOR Y HOJA '!E29:F29</f>
        <v>56806.666666666672</v>
      </c>
      <c r="F6" s="380">
        <f>+'PRUEBA PILOTO COTIZADOR Y HOJA '!U29</f>
        <v>56806.666666666672</v>
      </c>
      <c r="G6" s="460">
        <f>+F6-E6</f>
        <v>0</v>
      </c>
      <c r="H6" s="367" t="str">
        <f>+IF(E6&gt;F6,"Desfavorable","Favorable")</f>
        <v>Favorable</v>
      </c>
      <c r="I6" s="358"/>
    </row>
    <row r="7" spans="3:9" ht="23.25" x14ac:dyDescent="0.25">
      <c r="C7" s="368"/>
      <c r="D7" s="381" t="s">
        <v>95</v>
      </c>
      <c r="E7" s="379">
        <f>+'PRUEBA PILOTO COTIZADOR Y HOJA '!E30:F30</f>
        <v>7489.779293851162</v>
      </c>
      <c r="F7" s="380">
        <f>+'PRUEBA PILOTO COTIZADOR Y HOJA '!U30</f>
        <v>4344.0719904336738</v>
      </c>
      <c r="G7" s="460">
        <f>+F7-E7</f>
        <v>-3145.7073034174882</v>
      </c>
      <c r="H7" s="367" t="str">
        <f>+IF(E7&gt;F7,"Desfavorable","Favorable")</f>
        <v>Desfavorable</v>
      </c>
      <c r="I7" s="358"/>
    </row>
    <row r="8" spans="3:9" x14ac:dyDescent="0.25">
      <c r="C8" s="368" t="s">
        <v>283</v>
      </c>
      <c r="D8" s="382" t="s">
        <v>96</v>
      </c>
      <c r="E8" s="379">
        <f>+'PRUEBA PILOTO COTIZADOR Y HOJA '!E31:F31</f>
        <v>40965.85592251987</v>
      </c>
      <c r="F8" s="380">
        <f>+'PRUEBA PILOTO COTIZADOR Y HOJA '!U31</f>
        <v>38961.599073776604</v>
      </c>
      <c r="G8" s="460">
        <f>+F8-E8</f>
        <v>-2004.2568487432654</v>
      </c>
      <c r="H8" s="367" t="str">
        <f>+IF(E8&gt;F8,"Desfavorable","Favorable")</f>
        <v>Desfavorable</v>
      </c>
      <c r="I8" s="358"/>
    </row>
    <row r="9" spans="3:9" x14ac:dyDescent="0.25">
      <c r="C9" s="364"/>
      <c r="D9" s="383" t="s">
        <v>1143</v>
      </c>
      <c r="E9" s="384">
        <f>SUM(E6:E8)</f>
        <v>105262.3018830377</v>
      </c>
      <c r="F9" s="385">
        <f>SUM(F6:F8)</f>
        <v>100112.33773087696</v>
      </c>
      <c r="G9" s="461">
        <f>+F9-E9</f>
        <v>-5149.9641521607409</v>
      </c>
      <c r="H9" s="367" t="str">
        <f>+IF(E9&gt;F9,"Desfavorable","Favorable")</f>
        <v>Desfavorable</v>
      </c>
      <c r="I9" s="358"/>
    </row>
    <row r="10" spans="3:9" x14ac:dyDescent="0.25">
      <c r="D10" s="360"/>
      <c r="E10" s="360"/>
      <c r="F10" s="360"/>
      <c r="G10" s="462"/>
      <c r="H10" s="360"/>
    </row>
    <row r="11" spans="3:9" x14ac:dyDescent="0.25">
      <c r="D11" s="360"/>
      <c r="E11" s="360"/>
      <c r="F11" s="360"/>
      <c r="G11" s="360"/>
      <c r="H11" s="360"/>
    </row>
    <row r="12" spans="3:9" ht="15.75" thickBot="1" x14ac:dyDescent="0.3">
      <c r="D12" s="360"/>
      <c r="E12" s="360"/>
      <c r="F12" s="360"/>
      <c r="G12" s="360"/>
      <c r="H12" s="360"/>
    </row>
    <row r="13" spans="3:9" ht="16.5" thickBot="1" x14ac:dyDescent="0.3">
      <c r="D13" s="713" t="s">
        <v>1196</v>
      </c>
      <c r="E13" s="714"/>
      <c r="F13" s="714"/>
      <c r="G13" s="715"/>
      <c r="H13" s="358"/>
    </row>
    <row r="14" spans="3:9" ht="15.75" thickBot="1" x14ac:dyDescent="0.3">
      <c r="D14" s="482"/>
      <c r="E14" s="483"/>
      <c r="F14" s="483"/>
      <c r="G14" s="484"/>
      <c r="H14" s="358"/>
    </row>
    <row r="15" spans="3:9" ht="23.25" thickBot="1" x14ac:dyDescent="0.3">
      <c r="D15" s="389" t="s">
        <v>1138</v>
      </c>
      <c r="E15" s="709" t="s">
        <v>1139</v>
      </c>
      <c r="F15" s="710"/>
      <c r="G15" s="390" t="s">
        <v>1140</v>
      </c>
      <c r="H15" s="358"/>
    </row>
    <row r="16" spans="3:9" x14ac:dyDescent="0.25">
      <c r="D16" s="711" t="s">
        <v>88</v>
      </c>
      <c r="E16" s="386" t="s">
        <v>1141</v>
      </c>
      <c r="F16" s="387" t="s">
        <v>1147</v>
      </c>
      <c r="G16" s="388" t="s">
        <v>1142</v>
      </c>
      <c r="H16" s="365"/>
    </row>
    <row r="17" spans="4:8" x14ac:dyDescent="0.25">
      <c r="D17" s="712"/>
      <c r="E17" s="379">
        <f>+'PRUEBA PILOTO PUERTA'!F25</f>
        <v>402066.66666666663</v>
      </c>
      <c r="F17" s="380">
        <f>+'PRUEBA PILOTO PUERTA'!T25</f>
        <v>390066.66666666663</v>
      </c>
      <c r="G17" s="460">
        <f>+F17-E17</f>
        <v>-12000</v>
      </c>
      <c r="H17" s="367" t="str">
        <f>+IF(E17&gt;F17,"Desfavorable","Favorable")</f>
        <v>Desfavorable</v>
      </c>
    </row>
    <row r="18" spans="4:8" ht="23.25" x14ac:dyDescent="0.25">
      <c r="D18" s="381" t="s">
        <v>95</v>
      </c>
      <c r="E18" s="379">
        <f>+'PRUEBA PILOTO PUERTA'!J25</f>
        <v>44938.67576310697</v>
      </c>
      <c r="F18" s="380">
        <f>+'PRUEBA PILOTO PUERTA'!X25</f>
        <v>37448.896469255807</v>
      </c>
      <c r="G18" s="460">
        <f>+F18-E18</f>
        <v>-7489.7792938511629</v>
      </c>
      <c r="H18" s="367" t="str">
        <f>+IF(E18&gt;F18,"Desfavorable","Favorable")</f>
        <v>Desfavorable</v>
      </c>
    </row>
    <row r="19" spans="4:8" x14ac:dyDescent="0.25">
      <c r="D19" s="382" t="s">
        <v>96</v>
      </c>
      <c r="E19" s="379">
        <f>+'PRUEBA PILOTO PUERTA'!M25</f>
        <v>284805.11140257248</v>
      </c>
      <c r="F19" s="380">
        <f>+'PRUEBA PILOTO PUERTA'!AA25</f>
        <v>272387.38786301797</v>
      </c>
      <c r="G19" s="460">
        <f>+F19-E19</f>
        <v>-12417.723539554514</v>
      </c>
      <c r="H19" s="367" t="str">
        <f>+IF(E19&gt;F19,"Desfavorable","Favorable")</f>
        <v>Desfavorable</v>
      </c>
    </row>
    <row r="20" spans="4:8" x14ac:dyDescent="0.25">
      <c r="D20" s="383" t="s">
        <v>1143</v>
      </c>
      <c r="E20" s="384">
        <f>SUM(E17:E19)</f>
        <v>731810.45383234601</v>
      </c>
      <c r="F20" s="385">
        <f>SUM(F17:F19)</f>
        <v>699902.95099894039</v>
      </c>
      <c r="G20" s="461">
        <f>+F20-E20</f>
        <v>-31907.502833405626</v>
      </c>
      <c r="H20" s="367" t="str">
        <f>+IF(E20&gt;F20,"Desfavorable","Favorable")</f>
        <v>Desfavorable</v>
      </c>
    </row>
  </sheetData>
  <mergeCells count="7">
    <mergeCell ref="E15:F15"/>
    <mergeCell ref="D16:D17"/>
    <mergeCell ref="D2:G2"/>
    <mergeCell ref="C4:C5"/>
    <mergeCell ref="E4:F4"/>
    <mergeCell ref="D5:D6"/>
    <mergeCell ref="D13:G13"/>
  </mergeCells>
  <hyperlinks>
    <hyperlink ref="H6" r:id="rId1" location="Vm_Material!A1" display="C:\Users\asis.academia\AppData\Local\AppData\Local\COPIAS USB\Copia USB 2009\Copia_USB\Correo_UGC\Punto de equilibrio\Ejercicio de Costos Estandar.xls - Vm_Material!A1"/>
    <hyperlink ref="H7" r:id="rId2" location="Vm_Material!A1" display="C:\Users\asis.academia\AppData\Local\AppData\Local\COPIAS USB\Copia USB 2009\Copia_USB\Correo_UGC\Punto de equilibrio\Ejercicio de Costos Estandar.xls - Vm_Material!A1"/>
    <hyperlink ref="H17" r:id="rId3" location="Vm_Material!A1" display="C:\Users\asis.academia\AppData\Local\AppData\Local\COPIAS USB\Copia USB 2009\Copia_USB\Correo_UGC\Punto de equilibrio\Ejercicio de Costos Estandar.xls - Vm_Material!A1"/>
    <hyperlink ref="H18" r:id="rId4" location="Vm_Material!A1" display="C:\Users\asis.academia\AppData\Local\AppData\Local\COPIAS USB\Copia USB 2009\Copia_USB\Correo_UGC\Punto de equilibrio\Ejercicio de Costos Estandar.xls - Vm_Material!A1"/>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3" sqref="B3:N34"/>
    </sheetView>
  </sheetViews>
  <sheetFormatPr baseColWidth="10" defaultRowHeight="15" x14ac:dyDescent="0.25"/>
  <cols>
    <col min="7" max="7" width="11.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vt:i4>
      </vt:variant>
    </vt:vector>
  </HeadingPairs>
  <TitlesOfParts>
    <vt:vector size="24" baseType="lpstr">
      <vt:lpstr>PERFIL ALUMINO</vt:lpstr>
      <vt:lpstr>SISTEMAS DE ALUMINIO</vt:lpstr>
      <vt:lpstr>ACCESORIOS DE ALUMINIO Y ACERO</vt:lpstr>
      <vt:lpstr>ACERO</vt:lpstr>
      <vt:lpstr>PERFIL Y ACCESORIOS HIERRO</vt:lpstr>
      <vt:lpstr>MODULLO_MATERIA_PRIMA_</vt:lpstr>
      <vt:lpstr>MOD_ALUMINIO_</vt:lpstr>
      <vt:lpstr>MOD_ACERO</vt:lpstr>
      <vt:lpstr>MOD HIERRO </vt:lpstr>
      <vt:lpstr>MOD DE ADMON</vt:lpstr>
      <vt:lpstr>Hoja1</vt:lpstr>
      <vt:lpstr>DATOS</vt:lpstr>
      <vt:lpstr>DEPARTAMENTA</vt:lpstr>
      <vt:lpstr>informacion_</vt:lpstr>
      <vt:lpstr>Hoja2</vt:lpstr>
      <vt:lpstr>COTIZADOR </vt:lpstr>
      <vt:lpstr>COSTOS INDIRECTOS DE FABRICACIO</vt:lpstr>
      <vt:lpstr>DISEÑO COTIZADOR</vt:lpstr>
      <vt:lpstr>DISEÑO DE COSTO HOJA REAL</vt:lpstr>
      <vt:lpstr>PRUEBA PILOTO COTIZADOR Y HOJA </vt:lpstr>
      <vt:lpstr>PRUEBA PILOTO PUERTA</vt:lpstr>
      <vt:lpstr>VARIACIONES_2</vt:lpstr>
      <vt:lpstr>Hoja3</vt:lpstr>
      <vt:lpstr>CODIGO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Kirenia Castillo</dc:creator>
  <cp:lastModifiedBy>Kirenia Castillo</cp:lastModifiedBy>
  <cp:lastPrinted>2013-05-12T16:15:00Z</cp:lastPrinted>
  <dcterms:created xsi:type="dcterms:W3CDTF">2013-03-01T16:22:08Z</dcterms:created>
  <dcterms:modified xsi:type="dcterms:W3CDTF">2013-06-04T16:23:47Z</dcterms:modified>
</cp:coreProperties>
</file>